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60" yWindow="580" windowWidth="16400" windowHeight="14760" firstSheet="1" activeTab="3"/>
  </bookViews>
  <sheets>
    <sheet name="Utilisation" sheetId="1" r:id="rId1"/>
    <sheet name="Récap" sheetId="2" r:id="rId2"/>
    <sheet name="EAU" sheetId="3" r:id="rId3"/>
    <sheet name="ELECTRICITE" sheetId="4" r:id="rId4"/>
    <sheet name="Exemples de consommations" sheetId="5" r:id="rId5"/>
  </sheets>
  <definedNames>
    <definedName name="P_eau_c">'EAU'!$B$3</definedName>
    <definedName name="P_eau_f">'EAU'!$B$2</definedName>
    <definedName name="peau">'EAU'!$B$2</definedName>
    <definedName name="PELEC">'ELECTRICITE'!$C$2</definedName>
    <definedName name="TABLE" localSheetId="3">'ELECTRICITE'!$A$1:$K$1</definedName>
    <definedName name="TABLE_2" localSheetId="3">'ELECTRICITE'!$B$3:$J$33</definedName>
    <definedName name="TABLE_3" localSheetId="3">'ELECTRICITE'!$A$3:$J$33</definedName>
    <definedName name="TABLE_4" localSheetId="3">'ELECTRICITE'!$A$32:$S$32</definedName>
    <definedName name="TABLE_5" localSheetId="3">'ELECTRICITE'!$A$1:$S$32</definedName>
    <definedName name="Z_624E6EB9_C0E9_11DB_B51E_00112473F75A_.wvu.PrintArea" localSheetId="2" hidden="1">'EAU'!$A$1:$K$33</definedName>
    <definedName name="Z_624E6EB9_C0E9_11DB_B51E_00112473F75A_.wvu.PrintArea" localSheetId="3" hidden="1">'ELECTRICITE'!$A$1:$K$44</definedName>
    <definedName name="Z_624E6EB9_C0E9_11DB_B51E_00112473F75A_.wvu.PrintArea" localSheetId="1" hidden="1">'Récap'!$B$2:$G$62</definedName>
    <definedName name="_xlnm.Print_Area" localSheetId="2">'EAU'!$A$1:$K$33</definedName>
    <definedName name="_xlnm.Print_Area" localSheetId="3">'ELECTRICITE'!$A$1:$K$44</definedName>
    <definedName name="_xlnm.Print_Area" localSheetId="1">'Récap'!$B$2:$G$62</definedName>
  </definedNames>
  <calcPr fullCalcOnLoad="1"/>
</workbook>
</file>

<file path=xl/comments2.xml><?xml version="1.0" encoding="utf-8"?>
<comments xmlns="http://schemas.openxmlformats.org/spreadsheetml/2006/main">
  <authors>
    <author>Dimitropoulos</author>
  </authors>
  <commentList>
    <comment ref="D6" authorId="0">
      <text>
        <r>
          <rPr>
            <b/>
            <sz val="9"/>
            <rFont val="Geneva"/>
            <family val="0"/>
          </rPr>
          <t>Utilisez 
80 si immeuble bien isolé
150 moyennement isolé
200 si non isolé</t>
        </r>
        <r>
          <rPr>
            <sz val="9"/>
            <rFont val="Geneva"/>
            <family val="0"/>
          </rPr>
          <t xml:space="preserve">
</t>
        </r>
      </text>
    </comment>
    <comment ref="D36" authorId="0">
      <text>
        <r>
          <rPr>
            <b/>
            <sz val="9"/>
            <rFont val="Geneva"/>
            <family val="0"/>
          </rPr>
          <t>Utilisez 
80 si immeuble isolé
150 moyennement isolé
200 si non isolé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<sst xmlns="http://schemas.openxmlformats.org/spreadsheetml/2006/main" count="296" uniqueCount="164">
  <si>
    <t>Si eau chaude collective :</t>
  </si>
  <si>
    <t>Coût annuel eau froide</t>
  </si>
  <si>
    <t>Téléviseurs</t>
  </si>
  <si>
    <t>Cathodique</t>
  </si>
  <si>
    <t>Moyenne</t>
  </si>
  <si>
    <t>LCD</t>
  </si>
  <si>
    <t>Plasma</t>
  </si>
  <si>
    <t>60 W</t>
  </si>
  <si>
    <t>97 W</t>
  </si>
  <si>
    <t>217 W</t>
  </si>
  <si>
    <t>La puissance d'une télévision dépend de la technologie et est prortionnelle à sa taile.</t>
  </si>
  <si>
    <t>Les quantités d'eau consommées sont issues de la feuille "EAU"</t>
  </si>
  <si>
    <t>Lavabo (mains, dents, etc...)</t>
  </si>
  <si>
    <t>Cuisine (boisson, cuisson)</t>
  </si>
  <si>
    <t>Vaisselle (main)</t>
  </si>
  <si>
    <t>Ménage</t>
  </si>
  <si>
    <t>Box adsl</t>
  </si>
  <si>
    <t xml:space="preserve">- Les cellules à fond bleu sont celles où vous aurez le plus à intervenir. </t>
  </si>
  <si>
    <t>Les usages sont trés variables les données doivent provenir d'une interview assez complète.</t>
  </si>
  <si>
    <t>Base sur ratios avec eau chaude et chauffage individuels</t>
  </si>
  <si>
    <t>électricité tout élec</t>
  </si>
  <si>
    <t>Feuille "ELECTRICITE"</t>
  </si>
  <si>
    <t xml:space="preserve">La feuille "ELECTRICITE" vous permet d'évaluer la consommation électrique de la famille, elle permet aussi </t>
  </si>
  <si>
    <t>de calculer le coût d'une éventuelle dérive dans l'utilisation des équipements.</t>
  </si>
  <si>
    <t>réelles peuvent se trouver sur l'étiquette énergie (obligatoire sur le matèriel en vente)</t>
  </si>
  <si>
    <t>équipements.</t>
  </si>
  <si>
    <t>Lave linge (5 kg)</t>
  </si>
  <si>
    <t>ordinaire</t>
  </si>
  <si>
    <t>économe</t>
  </si>
  <si>
    <t>Sèche-linge (5 kg)</t>
  </si>
  <si>
    <t>Lave vaisselle (12 couv)</t>
  </si>
  <si>
    <t>Poste froid</t>
  </si>
  <si>
    <t>Lampe à incandescence</t>
  </si>
  <si>
    <t>TOTAL</t>
  </si>
  <si>
    <t>Quitter</t>
  </si>
  <si>
    <t>Calculs par cycle</t>
  </si>
  <si>
    <t>Equipements</t>
  </si>
  <si>
    <t xml:space="preserve"> cycles/semaine</t>
  </si>
  <si>
    <t>Utilisation</t>
  </si>
  <si>
    <t>Consommation des appareils électriques</t>
  </si>
  <si>
    <t>Prix de l'électricité</t>
  </si>
  <si>
    <t>Consos/an</t>
  </si>
  <si>
    <t>Coût</t>
  </si>
  <si>
    <t xml:space="preserve">Réfrigérateur </t>
  </si>
  <si>
    <t>Congélateur</t>
  </si>
  <si>
    <t>Eclairage</t>
  </si>
  <si>
    <t>Nombre</t>
  </si>
  <si>
    <t>Heures/jour</t>
  </si>
  <si>
    <t>Lampe halogène</t>
  </si>
  <si>
    <t>Lampe fluocompacte</t>
  </si>
  <si>
    <t xml:space="preserve">Télévision </t>
  </si>
  <si>
    <t>Magnétoscope</t>
  </si>
  <si>
    <t>Total énergie</t>
  </si>
  <si>
    <t>Total</t>
  </si>
  <si>
    <t>Auxilliaires</t>
  </si>
  <si>
    <t>Pompe chauffage</t>
  </si>
  <si>
    <t>VMC</t>
  </si>
  <si>
    <r>
      <t xml:space="preserve">Cet outil sert à </t>
    </r>
    <r>
      <rPr>
        <b/>
        <sz val="14"/>
        <rFont val="Geneva"/>
        <family val="0"/>
      </rPr>
      <t>évaluer</t>
    </r>
    <r>
      <rPr>
        <sz val="14"/>
        <rFont val="Geneva"/>
        <family val="0"/>
      </rPr>
      <t xml:space="preserve"> les consommations d'eau et d'énergie.</t>
    </r>
  </si>
  <si>
    <r>
      <t>Tableau 2</t>
    </r>
    <r>
      <rPr>
        <sz val="9"/>
        <rFont val="Geneva"/>
        <family val="0"/>
      </rPr>
      <t xml:space="preserve"> : Identique au précédent à l'exception du chauffage et de l'eau chaude qui sont ici collectifs.</t>
    </r>
  </si>
  <si>
    <t>Vous devrez donc renseigner le prix du chauffage au métre carré et les prix de l'eau chaude et froide.</t>
  </si>
  <si>
    <r>
      <t>Tableaux 3 et 4</t>
    </r>
    <r>
      <rPr>
        <sz val="9"/>
        <rFont val="Geneva"/>
        <family val="0"/>
      </rPr>
      <t xml:space="preserve"> : même principe que les précédents mais les consommations d'eau et d'électricité </t>
    </r>
  </si>
  <si>
    <t xml:space="preserve">qualité des équipements et la fréquence d'utilisation hebdomadaire, si vous avez des données plus </t>
  </si>
  <si>
    <t>Prix du mètre cube eau froide</t>
  </si>
  <si>
    <t>Prix du mètre cube eau chaude</t>
  </si>
  <si>
    <t>Consommation d'eau.</t>
  </si>
  <si>
    <t xml:space="preserve"> Total m3</t>
  </si>
  <si>
    <t>Conso jour en litres</t>
  </si>
  <si>
    <t>Dispositif économe</t>
  </si>
  <si>
    <t>Quantité par usage</t>
  </si>
  <si>
    <t>Nombre d'usages</t>
  </si>
  <si>
    <t>Nombre de personnes</t>
  </si>
  <si>
    <t>Coût annuel eau chaude</t>
  </si>
  <si>
    <t>Répartition</t>
  </si>
  <si>
    <t>Volume/an</t>
  </si>
  <si>
    <t>Coût/an</t>
  </si>
  <si>
    <t>équivalent énergie</t>
  </si>
  <si>
    <t>Toilette (chasse d'eau)</t>
  </si>
  <si>
    <t>Four micro-ondes</t>
  </si>
  <si>
    <t>Cafetière</t>
  </si>
  <si>
    <t>Fer à repasser</t>
  </si>
  <si>
    <t>Sèche cheveux</t>
  </si>
  <si>
    <t xml:space="preserve">Aspirateur </t>
  </si>
  <si>
    <t>Aquarium</t>
  </si>
  <si>
    <t>Téléphone</t>
  </si>
  <si>
    <t>Outil réalisé par Franck Dimitropoulos pour l'association BCE.</t>
  </si>
  <si>
    <t>Les autres consommations se déterminent à partir du temps d'utilisation quotidien et de la puissance des</t>
  </si>
  <si>
    <t>Récapitulatifs consommation.</t>
  </si>
  <si>
    <t>Base sur ratios avec eau chaude et chauffage collectifs</t>
  </si>
  <si>
    <t xml:space="preserve">Il peu y avoir des "auxiliaires" raccordés à l'installation de la famille, VMC, pompe du chauffage, ils représentent </t>
  </si>
  <si>
    <t>euro kWh</t>
  </si>
  <si>
    <t>Vous devez modifier le nombre de personnes et le prix de l'énergie utilisée, les ratios utilisés</t>
  </si>
  <si>
    <t>sont récapitulés en feuille "Données"</t>
  </si>
  <si>
    <t>spécifique sont issues des calculs des feuilles "EAU" et "ELECTRICITE".</t>
  </si>
  <si>
    <t>Feuille "EAU"</t>
  </si>
  <si>
    <t>La feuille "EAU" vous permet d'évaluer la consommation en eau d'une famille, elle ne peut être</t>
  </si>
  <si>
    <t>exhaustive mais permet de différencier les usages et d'en connaître le coût.</t>
  </si>
  <si>
    <t>gaz tout gaz</t>
  </si>
  <si>
    <t>Coût au m2</t>
  </si>
  <si>
    <t>(énergie)</t>
  </si>
  <si>
    <t xml:space="preserve"> Total M3</t>
  </si>
  <si>
    <t xml:space="preserve"> Prix m3 chaud</t>
  </si>
  <si>
    <t xml:space="preserve"> Prix m3 froid</t>
  </si>
  <si>
    <t>Les résultats seront donc une approximation, néanmoins les méthodes de calculs pour l'eau et l'électricité permettent d'aller assez loin dans la précision.</t>
  </si>
  <si>
    <t>Aucune donnée ni formule n'est protégée, cela signifie que vous pouvez tout modifier pour adapter les feuilles à vos besoins. Par précaution il est préférable de travailler sur une copie si vous devez modifier des données ou des formules.</t>
  </si>
  <si>
    <t>Où entrer les données</t>
  </si>
  <si>
    <t xml:space="preserve">Le calcul par cycle concerne les machines à laver le linge et la vaisselle, vous choisissez la </t>
  </si>
  <si>
    <t>précises vous pouvez modifier la consommation par cycle.</t>
  </si>
  <si>
    <t>Pour tout commentaire : franck.dimitropoulos@wanadoo.fr</t>
  </si>
  <si>
    <t>Usages individuels par jour</t>
  </si>
  <si>
    <t>Efficacité dispositif éco</t>
  </si>
  <si>
    <t>Autres 1</t>
  </si>
  <si>
    <t>Autres 2</t>
  </si>
  <si>
    <t>Usages collectifs par jour</t>
  </si>
  <si>
    <t>Vous utiliserez le tableau qui vous semble le plus adapté au cas que vous devez traiter.</t>
  </si>
  <si>
    <t>un poste de consommation non négligeable.</t>
  </si>
  <si>
    <t>Les données des appareils électro-ménagers sont des données standards, elle sont modifiables ; les données</t>
  </si>
  <si>
    <t>Nombre jours</t>
  </si>
  <si>
    <t>Attention la répartition est faussée si fuite.</t>
  </si>
  <si>
    <t>Vous pouvez calculer la consommation réelle de chaque usage et déterminer la fréquence quotidienne.</t>
  </si>
  <si>
    <t>Les fuites se calculent en fonction du débit à l'heure.</t>
  </si>
  <si>
    <t>électricité petit usage</t>
  </si>
  <si>
    <t>Si le logement est équipé de dispositif économes vous pouvez cocher la case "Eco" et évaluer l'efficacité du dispositif.</t>
  </si>
  <si>
    <t>gaz petit usage</t>
  </si>
  <si>
    <t xml:space="preserve">- Les cellules à fond rose contiennent les prix de l'eau elles se modifieront automatiquement en renseignant la feuille "EAU". </t>
  </si>
  <si>
    <t>Base sur calculs avec eau chaude et chauffage individuels</t>
  </si>
  <si>
    <t xml:space="preserve"> Nbre personnes</t>
  </si>
  <si>
    <t>Tableau 1</t>
  </si>
  <si>
    <t>Tableau 3</t>
  </si>
  <si>
    <t>Tableau 2</t>
  </si>
  <si>
    <t>- Les cellules à fond jaunes contiennent des ratios ou des quantités, modifiez les avec prudence.</t>
  </si>
  <si>
    <t>Feuille "Récap"</t>
  </si>
  <si>
    <t>On commence par la fin, la feuille "Récap" permet de reconstituer une consommation à partir de ratios ou des feuilles "EAU" et "ELECTRICITE".</t>
  </si>
  <si>
    <t>Tableau 4</t>
  </si>
  <si>
    <t>Chaîne Hi-Fi</t>
  </si>
  <si>
    <t>Electronique</t>
  </si>
  <si>
    <t>Divers</t>
  </si>
  <si>
    <t>Veilles</t>
  </si>
  <si>
    <t>Lave linge</t>
  </si>
  <si>
    <t xml:space="preserve">Lave vaisselle </t>
  </si>
  <si>
    <t>Douche</t>
  </si>
  <si>
    <t>Bain</t>
  </si>
  <si>
    <t>Autres</t>
  </si>
  <si>
    <t>Fuites</t>
  </si>
  <si>
    <t>Robinet qui goutte</t>
  </si>
  <si>
    <t>débit/heure</t>
  </si>
  <si>
    <t>Robinet qui fuit</t>
  </si>
  <si>
    <t>Fuite légère chasse d'eau</t>
  </si>
  <si>
    <t>Fuite importante chasse d'eau</t>
  </si>
  <si>
    <t>Conso/an</t>
  </si>
  <si>
    <t xml:space="preserve">Chauffage </t>
  </si>
  <si>
    <t xml:space="preserve"> cycles/ semaine</t>
  </si>
  <si>
    <r>
      <t>Tableau 1</t>
    </r>
    <r>
      <rPr>
        <sz val="9"/>
        <rFont val="Geneva"/>
        <family val="0"/>
      </rPr>
      <t xml:space="preserve"> : Il correspond à un appartement ou l'eau chaude et le chauffage sont individuels.</t>
    </r>
  </si>
  <si>
    <t>Surface</t>
  </si>
  <si>
    <t>Conso m2</t>
  </si>
  <si>
    <t>Total kWh</t>
  </si>
  <si>
    <t>Prix énergie</t>
  </si>
  <si>
    <t>Eau chaude sanitaire</t>
  </si>
  <si>
    <t xml:space="preserve"> Total kWh </t>
  </si>
  <si>
    <t xml:space="preserve"> Prix énergie</t>
  </si>
  <si>
    <t>Electricité spécifique</t>
  </si>
  <si>
    <t>Eau</t>
  </si>
  <si>
    <t xml:space="preserve"> Prix eau</t>
  </si>
  <si>
    <t>Base</t>
  </si>
  <si>
    <t>Cuisson</t>
  </si>
</sst>
</file>

<file path=xl/styles.xml><?xml version="1.0" encoding="utf-8"?>
<styleSheet xmlns="http://schemas.openxmlformats.org/spreadsheetml/2006/main">
  <numFmts count="7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_-* #,##0.00,_ &quot;kWh&quot;;\-* #,##0.00&quot; F&quot;_-;_-* &quot;-&quot;??&quot; F&quot;_-;_-@_-"/>
    <numFmt numFmtId="181" formatCode="_-* #,##0.000,_ &quot;kWh&quot;;\-* #,##0.000&quot; F&quot;_-;_-* &quot;-&quot;??&quot; F&quot;_-;_-@_-"/>
    <numFmt numFmtId="182" formatCode="_-* #,##0.0000,_ &quot;kWh&quot;;\-* #,##0.0000&quot; F&quot;_-;_-* &quot;-&quot;??&quot; F&quot;_-;_-@_-"/>
    <numFmt numFmtId="183" formatCode="#,##0.0000,_ &quot;kWh&quot;;\-* #,##0.0000&quot; F&quot;_-;_-* &quot;-&quot;??&quot; F&quot;_-;_-@_-"/>
    <numFmt numFmtId="184" formatCode="#,##0.000,_ &quot;kWh&quot;;\-* #,##0.000&quot; F&quot;_-;_-* &quot;-&quot;??&quot; F&quot;_-;_-@_-"/>
    <numFmt numFmtId="185" formatCode="#,##0.00,_ &quot;kWh&quot;;\-* #,##0.00&quot; F&quot;_-;_-* &quot;-&quot;??&quot; F&quot;_-;_-@_-"/>
    <numFmt numFmtId="186" formatCode="0.00,_ &quot;kWh&quot;"/>
    <numFmt numFmtId="187" formatCode="0.000,_ &quot;kWh&quot;"/>
    <numFmt numFmtId="188" formatCode="0.0,_ &quot;kWh&quot;"/>
    <numFmt numFmtId="189" formatCode="0,_ &quot;kWh&quot;"/>
    <numFmt numFmtId="190" formatCode="0.0"/>
    <numFmt numFmtId="191" formatCode="0.000"/>
    <numFmt numFmtId="192" formatCode="0.0000,_ &quot;kWh&quot;"/>
    <numFmt numFmtId="193" formatCode="0.00000,_ &quot;kWh&quot;"/>
    <numFmt numFmtId="194" formatCode="#,##0_ \w;\-#,##0_ _F"/>
    <numFmt numFmtId="195" formatCode="_-* #,##0.0_ _F_-;\-* #,##0.0_ _F_-;_-* &quot;-&quot;??_ _F_-;_-@_-"/>
    <numFmt numFmtId="196" formatCode="_-* #,##0_ _F_-;\-* #,##0_ _F_-;_-* &quot;-&quot;??_ _F_-;_-@_-"/>
    <numFmt numFmtId="197" formatCode="#,##0,_ \L;\-#,##0&quot; F&quot;"/>
    <numFmt numFmtId="198" formatCode="0.00_ \L"/>
    <numFmt numFmtId="199" formatCode="0.0_ \L"/>
    <numFmt numFmtId="200" formatCode="0_ \L"/>
    <numFmt numFmtId="201" formatCode="#,##0_ &quot;¤&quot;;\-#,##0&quot; F&quot;"/>
    <numFmt numFmtId="202" formatCode="0.0%"/>
    <numFmt numFmtId="203" formatCode="00_ &quot;kWh&quot;"/>
    <numFmt numFmtId="204" formatCode="00.0_ &quot;kWh&quot;"/>
    <numFmt numFmtId="205" formatCode="0.0_ &quot;kWh&quot;"/>
    <numFmt numFmtId="206" formatCode="0_ &quot;kWh&quot;"/>
    <numFmt numFmtId="207" formatCode="0.00_ &quot;kWh&quot;"/>
    <numFmt numFmtId="208" formatCode="0.000_ &quot;kWh&quot;"/>
    <numFmt numFmtId="209" formatCode="#,##0_ \¤;[Red]\-#,##0_ _F"/>
    <numFmt numFmtId="210" formatCode="0.000_ &quot;m3&quot;"/>
    <numFmt numFmtId="211" formatCode="0.00_ &quot;m3&quot;"/>
    <numFmt numFmtId="212" formatCode="0.0_ &quot;m3&quot;"/>
    <numFmt numFmtId="213" formatCode="0_ &quot;m3&quot;"/>
    <numFmt numFmtId="214" formatCode="0.0000_ &quot;kWh&quot;"/>
    <numFmt numFmtId="215" formatCode="0.00000_ &quot;kWh&quot;"/>
    <numFmt numFmtId="216" formatCode="#,##0.00&quot; €&quot;;[Red]#,##0.00&quot; €&quot;"/>
    <numFmt numFmtId="217" formatCode="#,##0.000&quot; €&quot;;[Red]#,##0.000&quot; €&quot;"/>
    <numFmt numFmtId="218" formatCode="#,##0.0&quot; €&quot;;[Red]#,##0.0&quot; €&quot;"/>
    <numFmt numFmtId="219" formatCode="#,##0&quot; €&quot;;[Red]#,##0&quot; €&quot;"/>
    <numFmt numFmtId="220" formatCode="#,##0.0000&quot; €&quot;;[Red]#,##0.0000&quot; €&quot;"/>
    <numFmt numFmtId="221" formatCode="#,##0.00000&quot; €&quot;;[Red]#,##0.00000&quot; €&quot;"/>
    <numFmt numFmtId="222" formatCode="0.00000000"/>
    <numFmt numFmtId="223" formatCode="0.0000000"/>
    <numFmt numFmtId="224" formatCode="0.000000"/>
    <numFmt numFmtId="225" formatCode="0.00000"/>
    <numFmt numFmtId="226" formatCode="0.0000"/>
    <numFmt numFmtId="227" formatCode="0.000%"/>
    <numFmt numFmtId="228" formatCode="d/mm/yyyy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sz val="10"/>
      <name val="Geneva"/>
      <family val="0"/>
    </font>
    <font>
      <b/>
      <sz val="18"/>
      <name val="Times"/>
      <family val="0"/>
    </font>
    <font>
      <sz val="18"/>
      <name val="Times"/>
      <family val="0"/>
    </font>
    <font>
      <b/>
      <sz val="14"/>
      <name val="Geneva"/>
      <family val="0"/>
    </font>
    <font>
      <sz val="14"/>
      <name val="Geneva"/>
      <family val="0"/>
    </font>
    <font>
      <sz val="14"/>
      <name val="Times"/>
      <family val="0"/>
    </font>
    <font>
      <b/>
      <sz val="14"/>
      <name val="Times"/>
      <family val="0"/>
    </font>
    <font>
      <b/>
      <sz val="18"/>
      <name val="Geneva"/>
      <family val="0"/>
    </font>
    <font>
      <b/>
      <sz val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8"/>
      <name val="Geneva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9" fontId="6" fillId="0" borderId="0" xfId="17" applyFont="1" applyAlignment="1">
      <alignment horizontal="center"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7" xfId="0" applyFont="1" applyBorder="1" applyAlignment="1">
      <alignment/>
    </xf>
    <xf numFmtId="1" fontId="11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4" fillId="0" borderId="0" xfId="0" applyFont="1" applyAlignment="1">
      <alignment/>
    </xf>
    <xf numFmtId="203" fontId="11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1" xfId="0" applyNumberFormat="1" applyFont="1" applyFill="1" applyBorder="1" applyAlignment="1">
      <alignment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206" fontId="5" fillId="0" borderId="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06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06" fontId="5" fillId="0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18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196" fontId="5" fillId="2" borderId="0" xfId="17" applyNumberFormat="1" applyFont="1" applyFill="1" applyBorder="1" applyAlignment="1">
      <alignment/>
    </xf>
    <xf numFmtId="186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96" fontId="5" fillId="2" borderId="1" xfId="17" applyNumberFormat="1" applyFont="1" applyFill="1" applyBorder="1" applyAlignment="1">
      <alignment/>
    </xf>
    <xf numFmtId="186" fontId="5" fillId="2" borderId="1" xfId="0" applyNumberFormat="1" applyFont="1" applyFill="1" applyBorder="1" applyAlignment="1">
      <alignment/>
    </xf>
    <xf numFmtId="196" fontId="5" fillId="2" borderId="2" xfId="17" applyNumberFormat="1" applyFont="1" applyFill="1" applyBorder="1" applyAlignment="1">
      <alignment/>
    </xf>
    <xf numFmtId="196" fontId="5" fillId="2" borderId="0" xfId="17" applyNumberFormat="1" applyFont="1" applyFill="1" applyBorder="1" applyAlignment="1">
      <alignment horizontal="left" wrapText="1"/>
    </xf>
    <xf numFmtId="186" fontId="5" fillId="2" borderId="0" xfId="0" applyNumberFormat="1" applyFont="1" applyFill="1" applyBorder="1" applyAlignment="1">
      <alignment wrapText="1"/>
    </xf>
    <xf numFmtId="196" fontId="5" fillId="2" borderId="1" xfId="17" applyNumberFormat="1" applyFont="1" applyFill="1" applyBorder="1" applyAlignment="1">
      <alignment horizontal="left" wrapText="1"/>
    </xf>
    <xf numFmtId="186" fontId="5" fillId="2" borderId="1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94" fontId="5" fillId="0" borderId="13" xfId="0" applyNumberFormat="1" applyFont="1" applyFill="1" applyBorder="1" applyAlignment="1">
      <alignment wrapText="1"/>
    </xf>
    <xf numFmtId="186" fontId="5" fillId="3" borderId="1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86" fontId="5" fillId="3" borderId="15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86" fontId="5" fillId="3" borderId="1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89" fontId="5" fillId="3" borderId="15" xfId="0" applyNumberFormat="1" applyFont="1" applyFill="1" applyBorder="1" applyAlignment="1">
      <alignment vertical="center"/>
    </xf>
    <xf numFmtId="189" fontId="5" fillId="3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13" fillId="0" borderId="1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206" fontId="13" fillId="0" borderId="1" xfId="0" applyNumberFormat="1" applyFont="1" applyFill="1" applyBorder="1" applyAlignment="1">
      <alignment horizontal="center" vertical="center"/>
    </xf>
    <xf numFmtId="206" fontId="5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4" borderId="13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4" borderId="9" xfId="0" applyFont="1" applyFill="1" applyBorder="1" applyAlignment="1">
      <alignment wrapText="1"/>
    </xf>
    <xf numFmtId="212" fontId="5" fillId="0" borderId="2" xfId="17" applyNumberFormat="1" applyFont="1" applyBorder="1" applyAlignment="1">
      <alignment horizontal="center"/>
    </xf>
    <xf numFmtId="0" fontId="5" fillId="4" borderId="11" xfId="0" applyFont="1" applyFill="1" applyBorder="1" applyAlignment="1">
      <alignment wrapText="1"/>
    </xf>
    <xf numFmtId="212" fontId="5" fillId="0" borderId="1" xfId="17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212" fontId="5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21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/>
    </xf>
    <xf numFmtId="21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13" fillId="0" borderId="12" xfId="0" applyFont="1" applyBorder="1" applyAlignment="1">
      <alignment horizontal="right"/>
    </xf>
    <xf numFmtId="213" fontId="13" fillId="0" borderId="13" xfId="0" applyNumberFormat="1" applyFont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86" fontId="5" fillId="3" borderId="14" xfId="0" applyNumberFormat="1" applyFont="1" applyFill="1" applyBorder="1" applyAlignment="1">
      <alignment horizontal="center"/>
    </xf>
    <xf numFmtId="186" fontId="5" fillId="3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2" fontId="6" fillId="3" borderId="2" xfId="19" applyNumberFormat="1" applyFont="1" applyFill="1" applyBorder="1" applyAlignment="1">
      <alignment horizontal="center"/>
    </xf>
    <xf numFmtId="213" fontId="5" fillId="0" borderId="2" xfId="0" applyNumberFormat="1" applyFont="1" applyBorder="1" applyAlignment="1">
      <alignment horizontal="center"/>
    </xf>
    <xf numFmtId="12" fontId="6" fillId="0" borderId="1" xfId="19" applyNumberFormat="1" applyFont="1" applyBorder="1" applyAlignment="1">
      <alignment horizontal="center"/>
    </xf>
    <xf numFmtId="213" fontId="5" fillId="0" borderId="1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15" fillId="0" borderId="0" xfId="0" applyFont="1" applyAlignment="1">
      <alignment/>
    </xf>
    <xf numFmtId="213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9" fontId="0" fillId="0" borderId="0" xfId="2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200" fontId="5" fillId="5" borderId="2" xfId="0" applyNumberFormat="1" applyFont="1" applyFill="1" applyBorder="1" applyAlignment="1">
      <alignment horizontal="center"/>
    </xf>
    <xf numFmtId="200" fontId="5" fillId="5" borderId="0" xfId="0" applyNumberFormat="1" applyFont="1" applyFill="1" applyBorder="1" applyAlignment="1">
      <alignment horizontal="center"/>
    </xf>
    <xf numFmtId="200" fontId="5" fillId="5" borderId="1" xfId="0" applyNumberFormat="1" applyFont="1" applyFill="1" applyBorder="1" applyAlignment="1">
      <alignment horizontal="center"/>
    </xf>
    <xf numFmtId="200" fontId="5" fillId="5" borderId="2" xfId="17" applyNumberFormat="1" applyFont="1" applyFill="1" applyBorder="1" applyAlignment="1">
      <alignment horizontal="center"/>
    </xf>
    <xf numFmtId="200" fontId="5" fillId="5" borderId="1" xfId="17" applyNumberFormat="1" applyFont="1" applyFill="1" applyBorder="1" applyAlignment="1">
      <alignment horizontal="center"/>
    </xf>
    <xf numFmtId="207" fontId="0" fillId="5" borderId="2" xfId="0" applyNumberFormat="1" applyFont="1" applyFill="1" applyBorder="1" applyAlignment="1">
      <alignment horizontal="center" vertical="center"/>
    </xf>
    <xf numFmtId="207" fontId="0" fillId="5" borderId="0" xfId="0" applyNumberFormat="1" applyFont="1" applyFill="1" applyBorder="1" applyAlignment="1">
      <alignment horizontal="center" vertical="center"/>
    </xf>
    <xf numFmtId="207" fontId="0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206" fontId="5" fillId="5" borderId="0" xfId="0" applyNumberFormat="1" applyFont="1" applyFill="1" applyBorder="1" applyAlignment="1">
      <alignment horizontal="center" vertical="center"/>
    </xf>
    <xf numFmtId="206" fontId="5" fillId="5" borderId="1" xfId="0" applyNumberFormat="1" applyFont="1" applyFill="1" applyBorder="1" applyAlignment="1">
      <alignment horizontal="center" vertical="center"/>
    </xf>
    <xf numFmtId="206" fontId="5" fillId="5" borderId="0" xfId="0" applyNumberFormat="1" applyFont="1" applyFill="1" applyBorder="1" applyAlignment="1">
      <alignment vertical="center"/>
    </xf>
    <xf numFmtId="206" fontId="5" fillId="5" borderId="1" xfId="0" applyNumberFormat="1" applyFont="1" applyFill="1" applyBorder="1" applyAlignment="1">
      <alignment vertical="center"/>
    </xf>
    <xf numFmtId="194" fontId="5" fillId="5" borderId="0" xfId="0" applyNumberFormat="1" applyFont="1" applyFill="1" applyBorder="1" applyAlignment="1">
      <alignment wrapText="1"/>
    </xf>
    <xf numFmtId="194" fontId="5" fillId="5" borderId="1" xfId="0" applyNumberFormat="1" applyFont="1" applyFill="1" applyBorder="1" applyAlignment="1">
      <alignment wrapText="1"/>
    </xf>
    <xf numFmtId="194" fontId="5" fillId="5" borderId="2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200" fontId="11" fillId="5" borderId="8" xfId="0" applyNumberFormat="1" applyFont="1" applyFill="1" applyBorder="1" applyAlignment="1">
      <alignment horizontal="center"/>
    </xf>
    <xf numFmtId="213" fontId="11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3" borderId="0" xfId="0" applyFont="1" applyFill="1" applyAlignment="1">
      <alignment horizontal="left"/>
    </xf>
    <xf numFmtId="206" fontId="11" fillId="3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219" fontId="10" fillId="0" borderId="18" xfId="0" applyNumberFormat="1" applyFont="1" applyBorder="1" applyAlignment="1">
      <alignment horizontal="center"/>
    </xf>
    <xf numFmtId="219" fontId="11" fillId="0" borderId="19" xfId="0" applyNumberFormat="1" applyFont="1" applyBorder="1" applyAlignment="1">
      <alignment horizontal="center"/>
    </xf>
    <xf numFmtId="219" fontId="10" fillId="0" borderId="20" xfId="0" applyNumberFormat="1" applyFont="1" applyBorder="1" applyAlignment="1">
      <alignment horizontal="center"/>
    </xf>
    <xf numFmtId="219" fontId="11" fillId="0" borderId="21" xfId="0" applyNumberFormat="1" applyFont="1" applyBorder="1" applyAlignment="1">
      <alignment horizontal="center"/>
    </xf>
    <xf numFmtId="219" fontId="10" fillId="0" borderId="21" xfId="0" applyNumberFormat="1" applyFont="1" applyBorder="1" applyAlignment="1">
      <alignment horizontal="center"/>
    </xf>
    <xf numFmtId="206" fontId="11" fillId="5" borderId="1" xfId="0" applyNumberFormat="1" applyFont="1" applyFill="1" applyBorder="1" applyAlignment="1">
      <alignment horizontal="center"/>
    </xf>
    <xf numFmtId="206" fontId="10" fillId="0" borderId="2" xfId="0" applyNumberFormat="1" applyFont="1" applyBorder="1" applyAlignment="1">
      <alignment horizontal="center"/>
    </xf>
    <xf numFmtId="219" fontId="0" fillId="0" borderId="0" xfId="0" applyNumberFormat="1" applyAlignment="1">
      <alignment/>
    </xf>
    <xf numFmtId="217" fontId="11" fillId="3" borderId="1" xfId="0" applyNumberFormat="1" applyFont="1" applyFill="1" applyBorder="1" applyAlignment="1">
      <alignment horizontal="center"/>
    </xf>
    <xf numFmtId="217" fontId="10" fillId="0" borderId="2" xfId="0" applyNumberFormat="1" applyFont="1" applyBorder="1" applyAlignment="1">
      <alignment horizontal="center"/>
    </xf>
    <xf numFmtId="217" fontId="11" fillId="6" borderId="8" xfId="0" applyNumberFormat="1" applyFont="1" applyFill="1" applyBorder="1" applyAlignment="1">
      <alignment horizontal="center"/>
    </xf>
    <xf numFmtId="217" fontId="11" fillId="6" borderId="1" xfId="0" applyNumberFormat="1" applyFont="1" applyFill="1" applyBorder="1" applyAlignment="1">
      <alignment horizontal="center"/>
    </xf>
    <xf numFmtId="220" fontId="11" fillId="3" borderId="1" xfId="0" applyNumberFormat="1" applyFont="1" applyFill="1" applyBorder="1" applyAlignment="1">
      <alignment horizontal="center"/>
    </xf>
    <xf numFmtId="220" fontId="10" fillId="0" borderId="2" xfId="0" applyNumberFormat="1" applyFont="1" applyBorder="1" applyAlignment="1">
      <alignment horizontal="center"/>
    </xf>
    <xf numFmtId="220" fontId="11" fillId="6" borderId="1" xfId="0" applyNumberFormat="1" applyFont="1" applyFill="1" applyBorder="1" applyAlignment="1">
      <alignment horizontal="center"/>
    </xf>
    <xf numFmtId="220" fontId="11" fillId="6" borderId="8" xfId="0" applyNumberFormat="1" applyFont="1" applyFill="1" applyBorder="1" applyAlignment="1">
      <alignment horizontal="center"/>
    </xf>
    <xf numFmtId="219" fontId="5" fillId="4" borderId="14" xfId="0" applyNumberFormat="1" applyFont="1" applyFill="1" applyBorder="1" applyAlignment="1">
      <alignment horizontal="center" wrapText="1"/>
    </xf>
    <xf numFmtId="219" fontId="5" fillId="4" borderId="16" xfId="0" applyNumberFormat="1" applyFont="1" applyFill="1" applyBorder="1" applyAlignment="1">
      <alignment horizontal="center" wrapText="1"/>
    </xf>
    <xf numFmtId="219" fontId="5" fillId="4" borderId="17" xfId="0" applyNumberFormat="1" applyFont="1" applyFill="1" applyBorder="1" applyAlignment="1">
      <alignment horizontal="center" wrapText="1"/>
    </xf>
    <xf numFmtId="219" fontId="5" fillId="4" borderId="15" xfId="0" applyNumberFormat="1" applyFont="1" applyFill="1" applyBorder="1" applyAlignment="1">
      <alignment horizontal="center" wrapText="1"/>
    </xf>
    <xf numFmtId="219" fontId="13" fillId="4" borderId="17" xfId="0" applyNumberFormat="1" applyFont="1" applyFill="1" applyBorder="1" applyAlignment="1">
      <alignment horizontal="center" wrapText="1"/>
    </xf>
    <xf numFmtId="220" fontId="6" fillId="3" borderId="0" xfId="0" applyNumberFormat="1" applyFont="1" applyFill="1" applyAlignment="1">
      <alignment/>
    </xf>
    <xf numFmtId="219" fontId="5" fillId="0" borderId="14" xfId="0" applyNumberFormat="1" applyFont="1" applyFill="1" applyBorder="1" applyAlignment="1">
      <alignment horizontal="center" vertical="center" wrapText="1"/>
    </xf>
    <xf numFmtId="219" fontId="5" fillId="0" borderId="15" xfId="0" applyNumberFormat="1" applyFont="1" applyFill="1" applyBorder="1" applyAlignment="1">
      <alignment horizontal="center" vertical="center" wrapText="1"/>
    </xf>
    <xf numFmtId="219" fontId="5" fillId="0" borderId="16" xfId="0" applyNumberFormat="1" applyFont="1" applyFill="1" applyBorder="1" applyAlignment="1">
      <alignment horizontal="center" vertical="center" wrapText="1"/>
    </xf>
    <xf numFmtId="219" fontId="5" fillId="0" borderId="14" xfId="0" applyNumberFormat="1" applyFont="1" applyFill="1" applyBorder="1" applyAlignment="1">
      <alignment horizontal="center" vertical="center"/>
    </xf>
    <xf numFmtId="219" fontId="5" fillId="0" borderId="17" xfId="0" applyNumberFormat="1" applyFont="1" applyFill="1" applyBorder="1" applyAlignment="1">
      <alignment horizontal="center" wrapText="1"/>
    </xf>
    <xf numFmtId="219" fontId="5" fillId="0" borderId="15" xfId="0" applyNumberFormat="1" applyFont="1" applyFill="1" applyBorder="1" applyAlignment="1">
      <alignment horizontal="center" wrapText="1"/>
    </xf>
    <xf numFmtId="219" fontId="5" fillId="0" borderId="16" xfId="0" applyNumberFormat="1" applyFont="1" applyFill="1" applyBorder="1" applyAlignment="1">
      <alignment horizontal="center" wrapText="1"/>
    </xf>
    <xf numFmtId="219" fontId="13" fillId="0" borderId="16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12" fontId="5" fillId="0" borderId="13" xfId="17" applyNumberFormat="1" applyFont="1" applyBorder="1" applyAlignment="1">
      <alignment horizontal="center" vertical="top" wrapText="1"/>
    </xf>
    <xf numFmtId="219" fontId="5" fillId="4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9" fontId="5" fillId="0" borderId="2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 vertical="top" wrapText="1"/>
    </xf>
    <xf numFmtId="200" fontId="11" fillId="5" borderId="1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/>
    </xf>
    <xf numFmtId="206" fontId="5" fillId="0" borderId="0" xfId="0" applyNumberFormat="1" applyFont="1" applyFill="1" applyAlignment="1">
      <alignment/>
    </xf>
    <xf numFmtId="206" fontId="5" fillId="0" borderId="0" xfId="0" applyNumberFormat="1" applyFont="1" applyFill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219" fontId="13" fillId="0" borderId="13" xfId="0" applyNumberFormat="1" applyFont="1" applyBorder="1" applyAlignment="1">
      <alignment horizontal="center"/>
    </xf>
    <xf numFmtId="219" fontId="13" fillId="0" borderId="17" xfId="0" applyNumberFormat="1" applyFont="1" applyBorder="1" applyAlignment="1">
      <alignment horizontal="center"/>
    </xf>
    <xf numFmtId="206" fontId="5" fillId="0" borderId="11" xfId="0" applyNumberFormat="1" applyFont="1" applyBorder="1" applyAlignment="1">
      <alignment horizontal="center"/>
    </xf>
    <xf numFmtId="206" fontId="5" fillId="0" borderId="1" xfId="0" applyNumberFormat="1" applyFont="1" applyBorder="1" applyAlignment="1">
      <alignment horizontal="center"/>
    </xf>
    <xf numFmtId="206" fontId="5" fillId="0" borderId="1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9" fontId="5" fillId="0" borderId="2" xfId="0" applyNumberFormat="1" applyFont="1" applyBorder="1" applyAlignment="1">
      <alignment horizontal="center"/>
    </xf>
    <xf numFmtId="219" fontId="5" fillId="0" borderId="14" xfId="0" applyNumberFormat="1" applyFont="1" applyBorder="1" applyAlignment="1">
      <alignment horizontal="center"/>
    </xf>
    <xf numFmtId="219" fontId="5" fillId="0" borderId="1" xfId="0" applyNumberFormat="1" applyFont="1" applyBorder="1" applyAlignment="1">
      <alignment horizontal="center"/>
    </xf>
    <xf numFmtId="219" fontId="5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13" xfId="0" applyFont="1" applyFill="1" applyBorder="1" applyAlignment="1">
      <alignment horizontal="center" vertical="top" wrapText="1"/>
    </xf>
    <xf numFmtId="200" fontId="6" fillId="0" borderId="13" xfId="17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8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8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6" sqref="A6:G6"/>
    </sheetView>
  </sheetViews>
  <sheetFormatPr defaultColWidth="11.00390625" defaultRowHeight="12"/>
  <sheetData>
    <row r="1" ht="18">
      <c r="A1" s="11" t="s">
        <v>57</v>
      </c>
    </row>
    <row r="2" spans="1:7" ht="28.5" customHeight="1">
      <c r="A2" s="213" t="s">
        <v>102</v>
      </c>
      <c r="B2" s="213"/>
      <c r="C2" s="213"/>
      <c r="D2" s="213"/>
      <c r="E2" s="213"/>
      <c r="F2" s="213"/>
      <c r="G2" s="213"/>
    </row>
    <row r="3" spans="1:7" ht="34.5" customHeight="1">
      <c r="A3" s="213" t="s">
        <v>103</v>
      </c>
      <c r="B3" s="213"/>
      <c r="C3" s="213"/>
      <c r="D3" s="213"/>
      <c r="E3" s="213"/>
      <c r="F3" s="213"/>
      <c r="G3" s="213"/>
    </row>
    <row r="4" spans="1:7" ht="15" customHeight="1">
      <c r="A4" s="215" t="s">
        <v>104</v>
      </c>
      <c r="B4" s="215"/>
      <c r="C4" s="215"/>
      <c r="D4" s="215"/>
      <c r="E4" s="215"/>
      <c r="F4" s="215"/>
      <c r="G4" s="215"/>
    </row>
    <row r="5" spans="1:7" ht="15" customHeight="1">
      <c r="A5" s="214" t="s">
        <v>17</v>
      </c>
      <c r="B5" s="213"/>
      <c r="C5" s="213"/>
      <c r="D5" s="213"/>
      <c r="E5" s="213"/>
      <c r="F5" s="213"/>
      <c r="G5" s="213"/>
    </row>
    <row r="6" spans="1:7" ht="15" customHeight="1">
      <c r="A6" s="216" t="s">
        <v>129</v>
      </c>
      <c r="B6" s="217"/>
      <c r="C6" s="217"/>
      <c r="D6" s="217"/>
      <c r="E6" s="217"/>
      <c r="F6" s="217"/>
      <c r="G6" s="217"/>
    </row>
    <row r="7" spans="1:7" ht="24.75" customHeight="1">
      <c r="A7" s="214" t="s">
        <v>123</v>
      </c>
      <c r="B7" s="213"/>
      <c r="C7" s="213"/>
      <c r="D7" s="213"/>
      <c r="E7" s="213"/>
      <c r="F7" s="213"/>
      <c r="G7" s="213"/>
    </row>
    <row r="8" spans="1:7" ht="18.75" customHeight="1">
      <c r="A8" s="212" t="s">
        <v>130</v>
      </c>
      <c r="B8" s="212"/>
      <c r="C8" s="212"/>
      <c r="D8" s="212"/>
      <c r="E8" s="212"/>
      <c r="F8" s="212"/>
      <c r="G8" s="212"/>
    </row>
    <row r="9" spans="1:7" ht="27.75" customHeight="1">
      <c r="A9" s="213" t="s">
        <v>131</v>
      </c>
      <c r="B9" s="213"/>
      <c r="C9" s="213"/>
      <c r="D9" s="213"/>
      <c r="E9" s="213"/>
      <c r="F9" s="213"/>
      <c r="G9" s="213"/>
    </row>
    <row r="10" spans="1:7" ht="12.75">
      <c r="A10" s="163" t="s">
        <v>113</v>
      </c>
      <c r="B10" s="141"/>
      <c r="C10" s="141"/>
      <c r="D10" s="141"/>
      <c r="E10" s="141"/>
      <c r="F10" s="141"/>
      <c r="G10" s="141"/>
    </row>
    <row r="11" ht="12.75">
      <c r="A11" s="164" t="s">
        <v>151</v>
      </c>
    </row>
    <row r="12" ht="12.75">
      <c r="A12" s="163" t="s">
        <v>90</v>
      </c>
    </row>
    <row r="13" ht="12.75">
      <c r="A13" s="163" t="s">
        <v>91</v>
      </c>
    </row>
    <row r="14" ht="12.75">
      <c r="A14" s="164" t="s">
        <v>58</v>
      </c>
    </row>
    <row r="15" ht="12.75">
      <c r="A15" s="163" t="s">
        <v>59</v>
      </c>
    </row>
    <row r="16" ht="12.75">
      <c r="A16" s="164" t="s">
        <v>60</v>
      </c>
    </row>
    <row r="17" ht="12.75">
      <c r="A17" s="163" t="s">
        <v>92</v>
      </c>
    </row>
    <row r="18" spans="1:7" ht="15.75">
      <c r="A18" s="212" t="s">
        <v>93</v>
      </c>
      <c r="B18" s="212"/>
      <c r="C18" s="212"/>
      <c r="D18" s="212"/>
      <c r="E18" s="212"/>
      <c r="F18" s="212"/>
      <c r="G18" s="212"/>
    </row>
    <row r="19" ht="12.75">
      <c r="A19" t="s">
        <v>94</v>
      </c>
    </row>
    <row r="20" ht="12.75">
      <c r="A20" t="s">
        <v>95</v>
      </c>
    </row>
    <row r="21" ht="12.75">
      <c r="A21" t="s">
        <v>105</v>
      </c>
    </row>
    <row r="22" ht="12.75">
      <c r="A22" t="s">
        <v>61</v>
      </c>
    </row>
    <row r="23" ht="12.75">
      <c r="A23" t="s">
        <v>106</v>
      </c>
    </row>
    <row r="24" ht="12.75">
      <c r="A24" t="s">
        <v>18</v>
      </c>
    </row>
    <row r="25" ht="12.75">
      <c r="A25" t="s">
        <v>118</v>
      </c>
    </row>
    <row r="26" ht="12.75">
      <c r="A26" t="s">
        <v>119</v>
      </c>
    </row>
    <row r="27" ht="12.75">
      <c r="A27" t="s">
        <v>121</v>
      </c>
    </row>
    <row r="28" spans="1:7" ht="15.75">
      <c r="A28" s="212" t="s">
        <v>21</v>
      </c>
      <c r="B28" s="212"/>
      <c r="C28" s="212"/>
      <c r="D28" s="212"/>
      <c r="E28" s="212"/>
      <c r="F28" s="212"/>
      <c r="G28" s="212"/>
    </row>
    <row r="29" ht="12.75">
      <c r="A29" t="s">
        <v>22</v>
      </c>
    </row>
    <row r="30" ht="12.75">
      <c r="A30" t="s">
        <v>23</v>
      </c>
    </row>
    <row r="31" ht="12.75">
      <c r="A31" t="s">
        <v>115</v>
      </c>
    </row>
    <row r="32" ht="12.75">
      <c r="A32" t="s">
        <v>24</v>
      </c>
    </row>
    <row r="33" ht="12.75">
      <c r="A33" t="s">
        <v>85</v>
      </c>
    </row>
    <row r="34" ht="12.75">
      <c r="A34" t="s">
        <v>25</v>
      </c>
    </row>
    <row r="35" ht="12.75">
      <c r="A35" t="s">
        <v>88</v>
      </c>
    </row>
    <row r="36" ht="12.75">
      <c r="A36" t="s">
        <v>114</v>
      </c>
    </row>
    <row r="38" ht="15.75">
      <c r="A38" s="134" t="s">
        <v>84</v>
      </c>
    </row>
    <row r="39" ht="15.75">
      <c r="A39" s="134" t="s">
        <v>107</v>
      </c>
    </row>
  </sheetData>
  <mergeCells count="10">
    <mergeCell ref="A18:G18"/>
    <mergeCell ref="A28:G28"/>
    <mergeCell ref="A2:G2"/>
    <mergeCell ref="A3:G3"/>
    <mergeCell ref="A9:G9"/>
    <mergeCell ref="A5:G5"/>
    <mergeCell ref="A4:G4"/>
    <mergeCell ref="A6:G6"/>
    <mergeCell ref="A7:G7"/>
    <mergeCell ref="A8:G8"/>
  </mergeCells>
  <printOptions/>
  <pageMargins left="0.75" right="0.75" top="1" bottom="1" header="0.4921259845" footer="0.4921259845"/>
  <pageSetup fitToHeight="1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2:S61"/>
  <sheetViews>
    <sheetView workbookViewId="0" topLeftCell="A1">
      <selection activeCell="F21" sqref="F21"/>
    </sheetView>
  </sheetViews>
  <sheetFormatPr defaultColWidth="11.00390625" defaultRowHeight="12"/>
  <cols>
    <col min="1" max="1" width="1.12109375" style="0" customWidth="1"/>
    <col min="2" max="2" width="29.375" style="0" bestFit="1" customWidth="1"/>
    <col min="3" max="3" width="13.50390625" style="0" customWidth="1"/>
    <col min="4" max="4" width="22.50390625" style="0" customWidth="1"/>
    <col min="5" max="5" width="14.625" style="0" bestFit="1" customWidth="1"/>
    <col min="6" max="6" width="19.125" style="0" bestFit="1" customWidth="1"/>
    <col min="7" max="7" width="16.00390625" style="0" bestFit="1" customWidth="1"/>
  </cols>
  <sheetData>
    <row r="2" ht="23.25">
      <c r="B2" s="22" t="s">
        <v>86</v>
      </c>
    </row>
    <row r="3" ht="12">
      <c r="B3" s="158" t="s">
        <v>126</v>
      </c>
    </row>
    <row r="4" ht="18.75" customHeight="1" thickBot="1">
      <c r="B4" s="134" t="s">
        <v>19</v>
      </c>
    </row>
    <row r="5" spans="2:7" ht="18">
      <c r="B5" s="14" t="s">
        <v>149</v>
      </c>
      <c r="C5" s="15" t="s">
        <v>152</v>
      </c>
      <c r="D5" s="15" t="s">
        <v>153</v>
      </c>
      <c r="E5" s="15" t="s">
        <v>154</v>
      </c>
      <c r="F5" s="15" t="s">
        <v>155</v>
      </c>
      <c r="G5" s="168" t="s">
        <v>42</v>
      </c>
    </row>
    <row r="6" spans="2:8" ht="18">
      <c r="B6" s="16"/>
      <c r="C6" s="136">
        <v>200</v>
      </c>
      <c r="D6" s="166">
        <v>50</v>
      </c>
      <c r="E6" s="23">
        <f>D6*C6</f>
        <v>10000</v>
      </c>
      <c r="F6" s="176">
        <v>0.059</v>
      </c>
      <c r="G6" s="169">
        <f>F6*E6</f>
        <v>590</v>
      </c>
      <c r="H6" s="139">
        <f>G6/G$15</f>
        <v>0.5910047080036062</v>
      </c>
    </row>
    <row r="7" spans="2:8" ht="18">
      <c r="B7" s="17" t="s">
        <v>156</v>
      </c>
      <c r="C7" s="13" t="s">
        <v>162</v>
      </c>
      <c r="D7" s="13" t="s">
        <v>125</v>
      </c>
      <c r="E7" s="13" t="s">
        <v>157</v>
      </c>
      <c r="F7" s="177" t="s">
        <v>158</v>
      </c>
      <c r="G7" s="170" t="s">
        <v>42</v>
      </c>
      <c r="H7" s="139"/>
    </row>
    <row r="8" spans="2:8" ht="18">
      <c r="B8" s="16" t="s">
        <v>98</v>
      </c>
      <c r="C8" s="173">
        <v>1000</v>
      </c>
      <c r="D8" s="136">
        <v>2</v>
      </c>
      <c r="E8" s="23">
        <f>(D8-1)*700+C8</f>
        <v>1700</v>
      </c>
      <c r="F8" s="176">
        <v>0.059</v>
      </c>
      <c r="G8" s="169">
        <f>F8*E8</f>
        <v>100.3</v>
      </c>
      <c r="H8" s="139">
        <f>G8/G$15</f>
        <v>0.10047080036061304</v>
      </c>
    </row>
    <row r="9" spans="2:8" ht="18">
      <c r="B9" s="17" t="s">
        <v>163</v>
      </c>
      <c r="C9" s="174" t="s">
        <v>162</v>
      </c>
      <c r="D9" s="13" t="s">
        <v>125</v>
      </c>
      <c r="E9" s="13" t="s">
        <v>157</v>
      </c>
      <c r="F9" s="177" t="s">
        <v>158</v>
      </c>
      <c r="G9" s="170" t="s">
        <v>42</v>
      </c>
      <c r="H9" s="139"/>
    </row>
    <row r="10" spans="2:18" ht="18">
      <c r="B10" s="16"/>
      <c r="C10" s="173">
        <v>500</v>
      </c>
      <c r="D10" s="137">
        <f>D8</f>
        <v>2</v>
      </c>
      <c r="E10" s="23">
        <f>(D10-1)*200+C10</f>
        <v>700</v>
      </c>
      <c r="F10" s="176">
        <v>0.14</v>
      </c>
      <c r="G10" s="169">
        <f>F10*E10</f>
        <v>98.00000000000001</v>
      </c>
      <c r="H10" s="139">
        <f>G10/G$15</f>
        <v>0.09816688370229391</v>
      </c>
      <c r="R10">
        <v>2</v>
      </c>
    </row>
    <row r="11" spans="2:8" ht="18">
      <c r="B11" s="17" t="s">
        <v>159</v>
      </c>
      <c r="C11" s="174" t="s">
        <v>162</v>
      </c>
      <c r="D11" s="13" t="s">
        <v>125</v>
      </c>
      <c r="E11" s="13" t="s">
        <v>157</v>
      </c>
      <c r="F11" s="177" t="s">
        <v>158</v>
      </c>
      <c r="G11" s="170" t="s">
        <v>42</v>
      </c>
      <c r="H11" s="139"/>
    </row>
    <row r="12" spans="2:19" ht="18">
      <c r="B12" s="16"/>
      <c r="C12" s="173">
        <v>1200</v>
      </c>
      <c r="D12" s="137">
        <f>D10</f>
        <v>2</v>
      </c>
      <c r="E12" s="12">
        <f>(D12-1)*300+C12</f>
        <v>1500</v>
      </c>
      <c r="F12" s="176">
        <v>0.14</v>
      </c>
      <c r="G12" s="169">
        <f>F12*E12</f>
        <v>210.00000000000003</v>
      </c>
      <c r="H12" s="139">
        <f>G12/G$15</f>
        <v>0.21035760793348696</v>
      </c>
      <c r="Q12">
        <v>1</v>
      </c>
      <c r="R12" t="s">
        <v>120</v>
      </c>
      <c r="S12">
        <v>0.14</v>
      </c>
    </row>
    <row r="13" spans="2:19" ht="18">
      <c r="B13" s="17" t="s">
        <v>160</v>
      </c>
      <c r="C13" s="13" t="s">
        <v>162</v>
      </c>
      <c r="D13" s="13" t="s">
        <v>125</v>
      </c>
      <c r="E13" s="13" t="s">
        <v>65</v>
      </c>
      <c r="F13" s="177" t="s">
        <v>161</v>
      </c>
      <c r="G13" s="170" t="s">
        <v>42</v>
      </c>
      <c r="H13" s="140"/>
      <c r="Q13">
        <v>2</v>
      </c>
      <c r="R13" t="s">
        <v>20</v>
      </c>
      <c r="S13">
        <v>0.11</v>
      </c>
    </row>
    <row r="14" spans="2:19" ht="18.75" thickBot="1">
      <c r="B14" s="18"/>
      <c r="C14" s="160">
        <v>150</v>
      </c>
      <c r="D14" s="138">
        <f>D12</f>
        <v>2</v>
      </c>
      <c r="E14" s="19">
        <f>((((D14-1)*85)+C14)*365)/1000</f>
        <v>85.775</v>
      </c>
      <c r="F14" s="178">
        <f>P_eau_f</f>
        <v>3.2</v>
      </c>
      <c r="G14" s="171">
        <f>F14*E14</f>
        <v>274.48</v>
      </c>
      <c r="Q14">
        <v>3</v>
      </c>
      <c r="R14" t="s">
        <v>122</v>
      </c>
      <c r="S14">
        <v>0.07</v>
      </c>
    </row>
    <row r="15" spans="2:19" ht="18">
      <c r="B15" s="11"/>
      <c r="C15" s="10"/>
      <c r="D15" s="10"/>
      <c r="E15" s="10"/>
      <c r="F15" s="20" t="s">
        <v>52</v>
      </c>
      <c r="G15" s="168">
        <f>G6+G8+G10+G12</f>
        <v>998.3</v>
      </c>
      <c r="Q15">
        <v>4</v>
      </c>
      <c r="R15" t="s">
        <v>96</v>
      </c>
      <c r="S15">
        <v>0.045</v>
      </c>
    </row>
    <row r="16" spans="2:7" ht="18.75" thickBot="1">
      <c r="B16" s="11"/>
      <c r="C16" s="11"/>
      <c r="D16" s="11"/>
      <c r="E16" s="11"/>
      <c r="F16" s="21" t="s">
        <v>53</v>
      </c>
      <c r="G16" s="172">
        <f>G15+G14</f>
        <v>1272.78</v>
      </c>
    </row>
    <row r="18" ht="12">
      <c r="B18" s="158" t="s">
        <v>128</v>
      </c>
    </row>
    <row r="19" ht="16.5" thickBot="1">
      <c r="B19" s="134" t="s">
        <v>87</v>
      </c>
    </row>
    <row r="20" spans="2:7" ht="18">
      <c r="B20" s="14" t="s">
        <v>149</v>
      </c>
      <c r="C20" s="15" t="s">
        <v>152</v>
      </c>
      <c r="D20" s="15"/>
      <c r="E20" s="15"/>
      <c r="F20" s="15" t="s">
        <v>97</v>
      </c>
      <c r="G20" s="168" t="s">
        <v>42</v>
      </c>
    </row>
    <row r="21" spans="2:8" ht="18">
      <c r="B21" s="16"/>
      <c r="C21" s="136">
        <v>80</v>
      </c>
      <c r="D21" s="12"/>
      <c r="E21" s="23"/>
      <c r="F21" s="176">
        <v>4.73</v>
      </c>
      <c r="G21" s="169">
        <f>F21*C21</f>
        <v>378.40000000000003</v>
      </c>
      <c r="H21" s="139">
        <f>G21/G$30</f>
        <v>0.33723987344592493</v>
      </c>
    </row>
    <row r="22" spans="2:8" ht="18">
      <c r="B22" s="17" t="s">
        <v>156</v>
      </c>
      <c r="C22" s="13" t="s">
        <v>162</v>
      </c>
      <c r="D22" s="13" t="s">
        <v>125</v>
      </c>
      <c r="E22" s="13" t="s">
        <v>99</v>
      </c>
      <c r="F22" s="177" t="s">
        <v>100</v>
      </c>
      <c r="G22" s="170" t="s">
        <v>42</v>
      </c>
      <c r="H22" s="139"/>
    </row>
    <row r="23" spans="2:8" ht="18">
      <c r="B23" s="16"/>
      <c r="C23" s="208">
        <v>150</v>
      </c>
      <c r="D23" s="136">
        <v>4</v>
      </c>
      <c r="E23" s="135">
        <f>((((D29-1)*85)+C29)*365)/1000/3</f>
        <v>49.275</v>
      </c>
      <c r="F23" s="179">
        <f>P_eau_c</f>
        <v>6</v>
      </c>
      <c r="G23" s="169">
        <f>F23*E23</f>
        <v>295.65</v>
      </c>
      <c r="H23" s="139">
        <f>G23/G$30</f>
        <v>0.2634909317766588</v>
      </c>
    </row>
    <row r="24" spans="2:8" ht="18">
      <c r="B24" s="17" t="s">
        <v>163</v>
      </c>
      <c r="C24" s="174" t="s">
        <v>162</v>
      </c>
      <c r="D24" s="13" t="s">
        <v>125</v>
      </c>
      <c r="E24" s="13" t="s">
        <v>157</v>
      </c>
      <c r="F24" s="177" t="s">
        <v>158</v>
      </c>
      <c r="G24" s="170" t="s">
        <v>42</v>
      </c>
      <c r="H24" s="139"/>
    </row>
    <row r="25" spans="2:8" ht="18">
      <c r="B25" s="16"/>
      <c r="C25" s="173">
        <v>500</v>
      </c>
      <c r="D25" s="137">
        <f>D23</f>
        <v>4</v>
      </c>
      <c r="E25" s="23">
        <f>(D25-1)*200+C25</f>
        <v>1100</v>
      </c>
      <c r="F25" s="176">
        <v>0.14</v>
      </c>
      <c r="G25" s="169">
        <f>F25*E25</f>
        <v>154.00000000000003</v>
      </c>
      <c r="H25" s="139">
        <f>G25/G$30</f>
        <v>0.1372487857047369</v>
      </c>
    </row>
    <row r="26" spans="2:8" ht="18">
      <c r="B26" s="17" t="s">
        <v>159</v>
      </c>
      <c r="C26" s="174" t="s">
        <v>162</v>
      </c>
      <c r="D26" s="13" t="s">
        <v>125</v>
      </c>
      <c r="E26" s="13" t="s">
        <v>157</v>
      </c>
      <c r="F26" s="177" t="s">
        <v>158</v>
      </c>
      <c r="G26" s="170" t="s">
        <v>42</v>
      </c>
      <c r="H26" s="139"/>
    </row>
    <row r="27" spans="2:8" ht="18">
      <c r="B27" s="16"/>
      <c r="C27" s="173">
        <v>1200</v>
      </c>
      <c r="D27" s="137">
        <f>D25</f>
        <v>4</v>
      </c>
      <c r="E27" s="12">
        <f>(D27-1)*300+C27</f>
        <v>2100</v>
      </c>
      <c r="F27" s="176">
        <v>0.14</v>
      </c>
      <c r="G27" s="169">
        <f>F27*E27</f>
        <v>294</v>
      </c>
      <c r="H27" s="139">
        <f>G27/G$30</f>
        <v>0.2620204090726795</v>
      </c>
    </row>
    <row r="28" spans="2:7" ht="18">
      <c r="B28" s="17" t="s">
        <v>160</v>
      </c>
      <c r="C28" s="13" t="s">
        <v>162</v>
      </c>
      <c r="D28" s="13" t="s">
        <v>125</v>
      </c>
      <c r="E28" s="13" t="s">
        <v>65</v>
      </c>
      <c r="F28" s="177" t="s">
        <v>101</v>
      </c>
      <c r="G28" s="170" t="s">
        <v>42</v>
      </c>
    </row>
    <row r="29" spans="2:7" ht="18.75" thickBot="1">
      <c r="B29" s="18"/>
      <c r="C29" s="160">
        <v>150</v>
      </c>
      <c r="D29" s="138">
        <f>D27</f>
        <v>4</v>
      </c>
      <c r="E29" s="19">
        <f>(((((D29-1)*85)+C29)*365)/1000)/3*2</f>
        <v>98.55</v>
      </c>
      <c r="F29" s="178">
        <f>P_eau_f</f>
        <v>3.2</v>
      </c>
      <c r="G29" s="171">
        <f>F29*E29</f>
        <v>315.36</v>
      </c>
    </row>
    <row r="30" spans="2:7" ht="18">
      <c r="B30" s="11"/>
      <c r="C30" s="10"/>
      <c r="D30" s="10"/>
      <c r="E30" s="10"/>
      <c r="F30" s="20" t="s">
        <v>52</v>
      </c>
      <c r="G30" s="168">
        <f>G21+G23+G25+G27</f>
        <v>1122.05</v>
      </c>
    </row>
    <row r="31" spans="2:7" ht="18.75" thickBot="1">
      <c r="B31" s="11"/>
      <c r="C31" s="11"/>
      <c r="D31" s="11"/>
      <c r="E31" s="11"/>
      <c r="F31" s="21" t="s">
        <v>53</v>
      </c>
      <c r="G31" s="172">
        <f>G30+G29</f>
        <v>1437.4099999999999</v>
      </c>
    </row>
    <row r="32" ht="12">
      <c r="G32" s="175"/>
    </row>
    <row r="33" spans="2:7" ht="12">
      <c r="B33" s="158" t="s">
        <v>127</v>
      </c>
      <c r="G33" s="175"/>
    </row>
    <row r="34" spans="2:7" ht="16.5" thickBot="1">
      <c r="B34" s="134" t="s">
        <v>124</v>
      </c>
      <c r="G34" s="175"/>
    </row>
    <row r="35" spans="2:7" ht="18">
      <c r="B35" s="14" t="s">
        <v>149</v>
      </c>
      <c r="C35" s="15" t="s">
        <v>152</v>
      </c>
      <c r="D35" s="15" t="s">
        <v>153</v>
      </c>
      <c r="E35" s="15" t="s">
        <v>154</v>
      </c>
      <c r="F35" s="15" t="s">
        <v>155</v>
      </c>
      <c r="G35" s="168" t="s">
        <v>42</v>
      </c>
    </row>
    <row r="36" spans="2:7" ht="18">
      <c r="B36" s="16"/>
      <c r="C36" s="136">
        <v>100</v>
      </c>
      <c r="D36" s="136">
        <v>120</v>
      </c>
      <c r="E36" s="23">
        <f>D36*C36</f>
        <v>12000</v>
      </c>
      <c r="F36" s="176">
        <v>0.045</v>
      </c>
      <c r="G36" s="169">
        <f>F36*E36</f>
        <v>540</v>
      </c>
    </row>
    <row r="37" spans="2:7" ht="18">
      <c r="B37" s="17" t="s">
        <v>156</v>
      </c>
      <c r="C37" s="13" t="s">
        <v>162</v>
      </c>
      <c r="D37" s="13" t="s">
        <v>125</v>
      </c>
      <c r="E37" s="13" t="s">
        <v>157</v>
      </c>
      <c r="F37" s="177" t="s">
        <v>158</v>
      </c>
      <c r="G37" s="170" t="s">
        <v>42</v>
      </c>
    </row>
    <row r="38" spans="2:7" ht="18">
      <c r="B38" s="16" t="s">
        <v>98</v>
      </c>
      <c r="C38" s="173">
        <v>1000</v>
      </c>
      <c r="D38" s="136">
        <v>4</v>
      </c>
      <c r="E38" s="23">
        <f>(D38-1)*700+C38</f>
        <v>3100</v>
      </c>
      <c r="F38" s="176">
        <v>0.11</v>
      </c>
      <c r="G38" s="169">
        <f>F38*E38</f>
        <v>341</v>
      </c>
    </row>
    <row r="39" spans="2:7" ht="18">
      <c r="B39" s="17" t="s">
        <v>163</v>
      </c>
      <c r="C39" s="174" t="s">
        <v>162</v>
      </c>
      <c r="D39" s="13" t="s">
        <v>125</v>
      </c>
      <c r="E39" s="13" t="s">
        <v>157</v>
      </c>
      <c r="F39" s="177" t="s">
        <v>158</v>
      </c>
      <c r="G39" s="170" t="s">
        <v>42</v>
      </c>
    </row>
    <row r="40" spans="2:7" ht="18">
      <c r="B40" s="16"/>
      <c r="C40" s="173">
        <v>500</v>
      </c>
      <c r="D40" s="137">
        <f>D38</f>
        <v>4</v>
      </c>
      <c r="E40" s="23">
        <f>(D40-1)*200+C40</f>
        <v>1100</v>
      </c>
      <c r="F40" s="176">
        <v>0.11</v>
      </c>
      <c r="G40" s="169">
        <f>F40*E40</f>
        <v>121</v>
      </c>
    </row>
    <row r="41" spans="2:7" ht="18">
      <c r="B41" s="17" t="s">
        <v>159</v>
      </c>
      <c r="C41" s="13"/>
      <c r="D41" s="13"/>
      <c r="E41" s="13" t="s">
        <v>157</v>
      </c>
      <c r="F41" s="177" t="s">
        <v>158</v>
      </c>
      <c r="G41" s="170" t="s">
        <v>42</v>
      </c>
    </row>
    <row r="42" spans="2:7" ht="18">
      <c r="B42" s="16"/>
      <c r="C42" s="137"/>
      <c r="D42" s="137"/>
      <c r="E42" s="12">
        <f>ELECTRICITE!I43</f>
        <v>3333.9500000000003</v>
      </c>
      <c r="F42" s="176">
        <v>0.11</v>
      </c>
      <c r="G42" s="169">
        <f>F42*E42</f>
        <v>366.7345</v>
      </c>
    </row>
    <row r="43" spans="2:7" ht="18">
      <c r="B43" s="17" t="s">
        <v>160</v>
      </c>
      <c r="C43" s="13"/>
      <c r="D43" s="13"/>
      <c r="E43" s="13" t="s">
        <v>65</v>
      </c>
      <c r="F43" s="177" t="s">
        <v>161</v>
      </c>
      <c r="G43" s="170" t="s">
        <v>42</v>
      </c>
    </row>
    <row r="44" spans="2:7" ht="18.75" thickBot="1">
      <c r="B44" s="18"/>
      <c r="C44" s="138"/>
      <c r="D44" s="138"/>
      <c r="E44" s="161">
        <f>EAU!I27</f>
        <v>130.47849999999997</v>
      </c>
      <c r="F44" s="178">
        <f>P_eau_f</f>
        <v>3.2</v>
      </c>
      <c r="G44" s="171">
        <f>F44*E44</f>
        <v>417.5311999999999</v>
      </c>
    </row>
    <row r="45" spans="2:7" ht="18">
      <c r="B45" s="162" t="s">
        <v>11</v>
      </c>
      <c r="C45" s="10"/>
      <c r="D45" s="10"/>
      <c r="E45" s="10"/>
      <c r="F45" s="20" t="s">
        <v>52</v>
      </c>
      <c r="G45" s="168">
        <f>G36+G38+G40+G42</f>
        <v>1368.7345</v>
      </c>
    </row>
    <row r="46" spans="2:7" ht="18.75" thickBot="1">
      <c r="B46" s="11"/>
      <c r="C46" s="11"/>
      <c r="D46" s="11"/>
      <c r="E46" s="11"/>
      <c r="F46" s="21" t="s">
        <v>53</v>
      </c>
      <c r="G46" s="172">
        <f>G45+G44</f>
        <v>1786.2657</v>
      </c>
    </row>
    <row r="47" ht="12.75">
      <c r="G47" s="175"/>
    </row>
    <row r="48" spans="2:7" ht="12.75">
      <c r="B48" s="158" t="s">
        <v>132</v>
      </c>
      <c r="G48" s="175"/>
    </row>
    <row r="49" spans="2:7" ht="16.5" thickBot="1">
      <c r="B49" s="134" t="s">
        <v>87</v>
      </c>
      <c r="G49" s="175"/>
    </row>
    <row r="50" spans="2:7" ht="18">
      <c r="B50" s="14" t="s">
        <v>149</v>
      </c>
      <c r="C50" s="15" t="s">
        <v>152</v>
      </c>
      <c r="D50" s="15"/>
      <c r="E50" s="15"/>
      <c r="F50" s="15" t="s">
        <v>97</v>
      </c>
      <c r="G50" s="168" t="s">
        <v>42</v>
      </c>
    </row>
    <row r="51" spans="2:7" ht="18">
      <c r="B51" s="16"/>
      <c r="C51" s="136">
        <v>80</v>
      </c>
      <c r="D51" s="12"/>
      <c r="E51" s="23"/>
      <c r="F51" s="180">
        <v>4.73</v>
      </c>
      <c r="G51" s="169">
        <f>F51*C51</f>
        <v>378.40000000000003</v>
      </c>
    </row>
    <row r="52" spans="2:7" ht="18">
      <c r="B52" s="17" t="s">
        <v>156</v>
      </c>
      <c r="C52" s="13"/>
      <c r="D52" s="13"/>
      <c r="E52" s="13" t="s">
        <v>99</v>
      </c>
      <c r="F52" s="181" t="s">
        <v>100</v>
      </c>
      <c r="G52" s="170" t="s">
        <v>42</v>
      </c>
    </row>
    <row r="53" spans="2:7" ht="18">
      <c r="B53" s="16"/>
      <c r="C53" s="137"/>
      <c r="D53" s="137"/>
      <c r="E53" s="135">
        <f>EAU!C31</f>
        <v>43.49283333333332</v>
      </c>
      <c r="F53" s="182">
        <f>P_eau_c</f>
        <v>6</v>
      </c>
      <c r="G53" s="169">
        <f>F53*E53</f>
        <v>260.95699999999994</v>
      </c>
    </row>
    <row r="54" spans="2:7" ht="18">
      <c r="B54" s="17" t="s">
        <v>163</v>
      </c>
      <c r="C54" s="13" t="s">
        <v>162</v>
      </c>
      <c r="D54" s="13" t="s">
        <v>125</v>
      </c>
      <c r="E54" s="13" t="s">
        <v>157</v>
      </c>
      <c r="F54" s="181" t="s">
        <v>158</v>
      </c>
      <c r="G54" s="170" t="s">
        <v>42</v>
      </c>
    </row>
    <row r="55" spans="2:7" ht="18">
      <c r="B55" s="16"/>
      <c r="C55" s="173">
        <v>500</v>
      </c>
      <c r="D55" s="137">
        <v>4</v>
      </c>
      <c r="E55" s="23">
        <f>(D55-1)*200+C55</f>
        <v>1100</v>
      </c>
      <c r="F55" s="180">
        <v>0.14</v>
      </c>
      <c r="G55" s="169">
        <f>F55*E55</f>
        <v>154.00000000000003</v>
      </c>
    </row>
    <row r="56" spans="2:7" ht="18">
      <c r="B56" s="17" t="s">
        <v>159</v>
      </c>
      <c r="C56" s="13"/>
      <c r="D56" s="13"/>
      <c r="E56" s="13" t="s">
        <v>157</v>
      </c>
      <c r="F56" s="181" t="s">
        <v>158</v>
      </c>
      <c r="G56" s="170" t="s">
        <v>42</v>
      </c>
    </row>
    <row r="57" spans="2:7" ht="18">
      <c r="B57" s="16"/>
      <c r="C57" s="137"/>
      <c r="D57" s="137"/>
      <c r="E57" s="12">
        <f>ELECTRICITE!I43</f>
        <v>3333.9500000000003</v>
      </c>
      <c r="F57" s="180">
        <v>0.14</v>
      </c>
      <c r="G57" s="169">
        <f>F57*E57</f>
        <v>466.7530000000001</v>
      </c>
    </row>
    <row r="58" spans="2:7" ht="18">
      <c r="B58" s="17" t="s">
        <v>160</v>
      </c>
      <c r="C58" s="159"/>
      <c r="D58" s="13"/>
      <c r="E58" s="13" t="s">
        <v>65</v>
      </c>
      <c r="F58" s="181" t="s">
        <v>101</v>
      </c>
      <c r="G58" s="170" t="s">
        <v>42</v>
      </c>
    </row>
    <row r="59" spans="2:7" ht="18.75" thickBot="1">
      <c r="B59" s="18"/>
      <c r="C59" s="138"/>
      <c r="D59" s="138"/>
      <c r="E59" s="161">
        <f>EAU!C30</f>
        <v>86.98566666666665</v>
      </c>
      <c r="F59" s="183">
        <f>P_eau_f</f>
        <v>3.2</v>
      </c>
      <c r="G59" s="171">
        <f>F59*E59</f>
        <v>278.35413333333327</v>
      </c>
    </row>
    <row r="60" spans="2:7" ht="18">
      <c r="B60" s="162" t="s">
        <v>11</v>
      </c>
      <c r="C60" s="10"/>
      <c r="D60" s="10"/>
      <c r="E60" s="10"/>
      <c r="F60" s="20" t="s">
        <v>52</v>
      </c>
      <c r="G60" s="168">
        <f>G51+G53+G55+G57</f>
        <v>1260.1100000000001</v>
      </c>
    </row>
    <row r="61" spans="2:7" ht="18.75" thickBot="1">
      <c r="B61" s="11"/>
      <c r="C61" s="11"/>
      <c r="D61" s="11"/>
      <c r="E61" s="11"/>
      <c r="F61" s="21" t="s">
        <v>53</v>
      </c>
      <c r="G61" s="172">
        <f>G60+G59</f>
        <v>1538.4641333333334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Z34"/>
  <sheetViews>
    <sheetView zoomScale="125" zoomScaleNormal="125" workbookViewId="0" topLeftCell="A1">
      <selection activeCell="B4" sqref="B4"/>
    </sheetView>
  </sheetViews>
  <sheetFormatPr defaultColWidth="11.00390625" defaultRowHeight="12"/>
  <cols>
    <col min="1" max="1" width="27.125" style="6" customWidth="1"/>
    <col min="2" max="2" width="12.50390625" style="6" bestFit="1" customWidth="1"/>
    <col min="3" max="3" width="12.875" style="6" customWidth="1"/>
    <col min="4" max="4" width="3.50390625" style="6" customWidth="1"/>
    <col min="5" max="5" width="9.125" style="6" customWidth="1"/>
    <col min="6" max="6" width="8.625" style="6" customWidth="1"/>
    <col min="7" max="7" width="3.375" style="6" customWidth="1"/>
    <col min="8" max="8" width="13.875" style="6" customWidth="1"/>
    <col min="9" max="9" width="10.875" style="6" customWidth="1"/>
    <col min="10" max="10" width="9.625" style="6" customWidth="1"/>
    <col min="11" max="11" width="5.375" style="6" customWidth="1"/>
    <col min="12" max="16384" width="10.875" style="6" customWidth="1"/>
  </cols>
  <sheetData>
    <row r="1" s="91" customFormat="1" ht="18.75">
      <c r="A1" s="92" t="s">
        <v>64</v>
      </c>
    </row>
    <row r="2" spans="1:26" s="8" customFormat="1" ht="12.75">
      <c r="A2" s="8" t="s">
        <v>62</v>
      </c>
      <c r="B2" s="189">
        <v>3.2</v>
      </c>
      <c r="X2" s="8" t="b">
        <v>0</v>
      </c>
      <c r="Y2" s="8" t="b">
        <v>1</v>
      </c>
      <c r="Z2" s="8" t="b">
        <v>0</v>
      </c>
    </row>
    <row r="3" spans="1:26" s="8" customFormat="1" ht="12.75">
      <c r="A3" s="8" t="s">
        <v>63</v>
      </c>
      <c r="B3" s="189">
        <v>6</v>
      </c>
      <c r="X3" s="8" t="b">
        <v>0</v>
      </c>
      <c r="Y3" s="8" t="b">
        <v>1</v>
      </c>
      <c r="Z3" s="8" t="b">
        <v>0</v>
      </c>
    </row>
    <row r="4" s="8" customFormat="1" ht="12.75"/>
    <row r="5" spans="1:25" ht="12.75">
      <c r="A5" s="1"/>
      <c r="B5" s="238" t="s">
        <v>36</v>
      </c>
      <c r="C5" s="238"/>
      <c r="D5" s="238"/>
      <c r="E5" s="238"/>
      <c r="F5" s="238"/>
      <c r="G5" s="238"/>
      <c r="H5" s="3" t="s">
        <v>38</v>
      </c>
      <c r="I5" s="2" t="s">
        <v>148</v>
      </c>
      <c r="J5" s="2" t="s">
        <v>74</v>
      </c>
      <c r="K5" s="1"/>
      <c r="X5" s="6" t="b">
        <v>0</v>
      </c>
      <c r="Y5" s="6" t="b">
        <v>1</v>
      </c>
    </row>
    <row r="6" spans="1:24" ht="16.5" customHeight="1">
      <c r="A6" s="93" t="s">
        <v>35</v>
      </c>
      <c r="B6" s="94"/>
      <c r="C6" s="95"/>
      <c r="D6" s="95"/>
      <c r="E6" s="95"/>
      <c r="F6" s="95"/>
      <c r="G6" s="95"/>
      <c r="H6" s="96" t="s">
        <v>37</v>
      </c>
      <c r="I6" s="133"/>
      <c r="J6" s="97"/>
      <c r="K6" s="1"/>
      <c r="X6" s="6" t="b">
        <v>0</v>
      </c>
    </row>
    <row r="7" spans="1:11" ht="15" customHeight="1">
      <c r="A7" s="100" t="s">
        <v>137</v>
      </c>
      <c r="B7" s="100" t="s">
        <v>27</v>
      </c>
      <c r="C7" s="145">
        <v>120</v>
      </c>
      <c r="D7" s="123"/>
      <c r="E7" s="100" t="s">
        <v>28</v>
      </c>
      <c r="F7" s="145">
        <v>70</v>
      </c>
      <c r="G7" s="123"/>
      <c r="H7" s="121">
        <v>5</v>
      </c>
      <c r="I7" s="101">
        <f>IF(Y2=TRUE,C7*H7*52,IF(Z2=TRUE,F7*H7*52,0))/1000</f>
        <v>31.2</v>
      </c>
      <c r="J7" s="184">
        <f>P_eau_f*I7</f>
        <v>99.84</v>
      </c>
      <c r="K7" s="5"/>
    </row>
    <row r="8" spans="1:11" ht="15" customHeight="1">
      <c r="A8" s="102" t="s">
        <v>138</v>
      </c>
      <c r="B8" s="102" t="s">
        <v>27</v>
      </c>
      <c r="C8" s="146">
        <v>40</v>
      </c>
      <c r="D8" s="124"/>
      <c r="E8" s="102" t="s">
        <v>28</v>
      </c>
      <c r="F8" s="146">
        <v>25</v>
      </c>
      <c r="G8" s="124"/>
      <c r="H8" s="122">
        <v>3</v>
      </c>
      <c r="I8" s="103">
        <f>IF(Y3=TRUE,C8*H8*52,IF(Z3=TRUE,F8*H8*52,0))/1000</f>
        <v>6.24</v>
      </c>
      <c r="J8" s="185">
        <f aca="true" t="shared" si="0" ref="J8:J26">P_eau_f*I8</f>
        <v>19.968000000000004</v>
      </c>
      <c r="K8" s="5"/>
    </row>
    <row r="9" spans="1:11" s="203" customFormat="1" ht="27" customHeight="1">
      <c r="A9" s="198" t="s">
        <v>108</v>
      </c>
      <c r="B9" s="199" t="s">
        <v>68</v>
      </c>
      <c r="C9" s="199" t="s">
        <v>67</v>
      </c>
      <c r="D9" s="239" t="s">
        <v>69</v>
      </c>
      <c r="E9" s="239"/>
      <c r="F9" s="240" t="s">
        <v>70</v>
      </c>
      <c r="G9" s="240"/>
      <c r="H9" s="207" t="s">
        <v>109</v>
      </c>
      <c r="I9" s="200"/>
      <c r="J9" s="201"/>
      <c r="K9" s="202"/>
    </row>
    <row r="10" spans="1:10" ht="18.75" customHeight="1">
      <c r="A10" s="104" t="s">
        <v>76</v>
      </c>
      <c r="B10" s="142">
        <v>9</v>
      </c>
      <c r="C10" s="105" t="b">
        <v>1</v>
      </c>
      <c r="D10" s="234">
        <v>3</v>
      </c>
      <c r="E10" s="234"/>
      <c r="F10" s="234">
        <v>4</v>
      </c>
      <c r="G10" s="234"/>
      <c r="H10" s="204">
        <v>0.3</v>
      </c>
      <c r="I10" s="107">
        <f aca="true" t="shared" si="1" ref="I10:I15">IF(C10=TRUE,F10*D10*B10*(1-H10)*365/1000,F10*D10*B10*365/1000)</f>
        <v>27.593999999999998</v>
      </c>
      <c r="J10" s="184">
        <f t="shared" si="0"/>
        <v>88.3008</v>
      </c>
    </row>
    <row r="11" spans="1:10" ht="18.75" customHeight="1">
      <c r="A11" s="108" t="s">
        <v>12</v>
      </c>
      <c r="B11" s="143">
        <v>5</v>
      </c>
      <c r="C11" s="109" t="b">
        <v>1</v>
      </c>
      <c r="D11" s="226">
        <v>1</v>
      </c>
      <c r="E11" s="226"/>
      <c r="F11" s="227">
        <f>F10</f>
        <v>4</v>
      </c>
      <c r="G11" s="227"/>
      <c r="H11" s="205">
        <v>0.4</v>
      </c>
      <c r="I11" s="110">
        <f t="shared" si="1"/>
        <v>4.38</v>
      </c>
      <c r="J11" s="187">
        <f t="shared" si="0"/>
        <v>14.016</v>
      </c>
    </row>
    <row r="12" spans="1:10" ht="18.75" customHeight="1">
      <c r="A12" s="111" t="s">
        <v>139</v>
      </c>
      <c r="B12" s="143">
        <v>60</v>
      </c>
      <c r="C12" s="109" t="b">
        <v>1</v>
      </c>
      <c r="D12" s="226">
        <v>1</v>
      </c>
      <c r="E12" s="226"/>
      <c r="F12" s="227">
        <f>F11</f>
        <v>4</v>
      </c>
      <c r="G12" s="227"/>
      <c r="H12" s="205">
        <v>0.5</v>
      </c>
      <c r="I12" s="110">
        <f t="shared" si="1"/>
        <v>43.8</v>
      </c>
      <c r="J12" s="187">
        <f t="shared" si="0"/>
        <v>140.16</v>
      </c>
    </row>
    <row r="13" spans="1:10" ht="18.75" customHeight="1">
      <c r="A13" s="111" t="s">
        <v>140</v>
      </c>
      <c r="B13" s="143">
        <v>150</v>
      </c>
      <c r="C13" s="109"/>
      <c r="D13" s="226"/>
      <c r="E13" s="226"/>
      <c r="F13" s="227">
        <f>F12</f>
        <v>4</v>
      </c>
      <c r="G13" s="227"/>
      <c r="H13" s="109"/>
      <c r="I13" s="110">
        <f t="shared" si="1"/>
        <v>0</v>
      </c>
      <c r="J13" s="187">
        <f t="shared" si="0"/>
        <v>0</v>
      </c>
    </row>
    <row r="14" spans="1:10" ht="18.75" customHeight="1">
      <c r="A14" s="111" t="s">
        <v>110</v>
      </c>
      <c r="B14" s="143">
        <v>5</v>
      </c>
      <c r="C14" s="109" t="b">
        <v>1</v>
      </c>
      <c r="D14" s="226">
        <v>1</v>
      </c>
      <c r="E14" s="237"/>
      <c r="F14" s="227">
        <f>F13</f>
        <v>4</v>
      </c>
      <c r="G14" s="227"/>
      <c r="H14" s="205">
        <v>0.4</v>
      </c>
      <c r="I14" s="110">
        <f t="shared" si="1"/>
        <v>4.38</v>
      </c>
      <c r="J14" s="187">
        <f t="shared" si="0"/>
        <v>14.016</v>
      </c>
    </row>
    <row r="15" spans="1:10" ht="18.75" customHeight="1">
      <c r="A15" s="112" t="s">
        <v>111</v>
      </c>
      <c r="B15" s="144"/>
      <c r="C15" s="113"/>
      <c r="D15" s="235"/>
      <c r="E15" s="235"/>
      <c r="F15" s="236">
        <f>F14</f>
        <v>4</v>
      </c>
      <c r="G15" s="236"/>
      <c r="H15" s="206"/>
      <c r="I15" s="114">
        <f t="shared" si="1"/>
        <v>0</v>
      </c>
      <c r="J15" s="187">
        <f t="shared" si="0"/>
        <v>0</v>
      </c>
    </row>
    <row r="16" spans="1:10" ht="18.75" customHeight="1">
      <c r="A16" s="99" t="s">
        <v>112</v>
      </c>
      <c r="B16" s="98"/>
      <c r="C16" s="98"/>
      <c r="D16" s="98"/>
      <c r="E16" s="98"/>
      <c r="F16" s="98"/>
      <c r="G16" s="98"/>
      <c r="H16" s="113"/>
      <c r="I16" s="110"/>
      <c r="J16" s="186"/>
    </row>
    <row r="17" spans="1:11" ht="18.75" customHeight="1">
      <c r="A17" s="104" t="s">
        <v>14</v>
      </c>
      <c r="B17" s="142">
        <v>10</v>
      </c>
      <c r="C17" s="106" t="b">
        <v>1</v>
      </c>
      <c r="D17" s="234">
        <v>2</v>
      </c>
      <c r="E17" s="234"/>
      <c r="F17" s="106"/>
      <c r="G17" s="106"/>
      <c r="H17" s="204">
        <v>0.4</v>
      </c>
      <c r="I17" s="107">
        <f>IF(C17=TRUE,D17*B17*(1-H17)*365/1000,D17*B17*365/1000)</f>
        <v>4.38</v>
      </c>
      <c r="J17" s="184">
        <f t="shared" si="0"/>
        <v>14.016</v>
      </c>
      <c r="K17" s="4"/>
    </row>
    <row r="18" spans="1:11" ht="18.75" customHeight="1">
      <c r="A18" s="111" t="s">
        <v>13</v>
      </c>
      <c r="B18" s="143">
        <v>7</v>
      </c>
      <c r="C18" s="109"/>
      <c r="D18" s="226">
        <v>2</v>
      </c>
      <c r="E18" s="226"/>
      <c r="F18" s="109"/>
      <c r="G18" s="109"/>
      <c r="H18" s="109"/>
      <c r="I18" s="110">
        <f>IF(C18=TRUE,D18*B18*(1-H18)*365/1000,D18*B18*365/1000)</f>
        <v>5.11</v>
      </c>
      <c r="J18" s="187">
        <f t="shared" si="0"/>
        <v>16.352</v>
      </c>
      <c r="K18" s="4"/>
    </row>
    <row r="19" spans="1:11" ht="18.75" customHeight="1">
      <c r="A19" s="111" t="s">
        <v>15</v>
      </c>
      <c r="B19" s="143">
        <v>10</v>
      </c>
      <c r="C19" s="109"/>
      <c r="D19" s="226">
        <v>0.33</v>
      </c>
      <c r="E19" s="226"/>
      <c r="F19" s="109"/>
      <c r="G19" s="109"/>
      <c r="H19" s="109"/>
      <c r="I19" s="110">
        <f>IF(C19=TRUE,D19*B19*(1-H19)*365/1000,D19*B19*365/1000)</f>
        <v>1.2045</v>
      </c>
      <c r="J19" s="187">
        <f t="shared" si="0"/>
        <v>3.8544</v>
      </c>
      <c r="K19" s="4"/>
    </row>
    <row r="20" spans="1:11" ht="18.75" customHeight="1">
      <c r="A20" s="111" t="s">
        <v>110</v>
      </c>
      <c r="B20" s="143">
        <v>10</v>
      </c>
      <c r="C20" s="109" t="b">
        <v>1</v>
      </c>
      <c r="D20" s="226">
        <v>1</v>
      </c>
      <c r="E20" s="226"/>
      <c r="F20" s="109"/>
      <c r="G20" s="109"/>
      <c r="H20" s="205">
        <v>0.4</v>
      </c>
      <c r="I20" s="110">
        <f>IF(C20=TRUE,D20*B20*(1-H20)*365/1000,D20*B20*365/1000)</f>
        <v>2.19</v>
      </c>
      <c r="J20" s="187">
        <f t="shared" si="0"/>
        <v>7.008</v>
      </c>
      <c r="K20" s="4"/>
    </row>
    <row r="21" spans="1:10" ht="18.75" customHeight="1">
      <c r="A21" s="112" t="s">
        <v>111</v>
      </c>
      <c r="B21" s="144"/>
      <c r="C21" s="113"/>
      <c r="D21" s="235">
        <v>1</v>
      </c>
      <c r="E21" s="235"/>
      <c r="F21" s="113"/>
      <c r="G21" s="115"/>
      <c r="H21" s="205"/>
      <c r="I21" s="114">
        <f>IF(C21=TRUE,D21*B21*(1-H21)*365/1000,D21*B21*365/1000)</f>
        <v>0</v>
      </c>
      <c r="J21" s="185">
        <f t="shared" si="0"/>
        <v>0</v>
      </c>
    </row>
    <row r="22" spans="1:11" ht="15.75">
      <c r="A22" s="99" t="s">
        <v>142</v>
      </c>
      <c r="B22" s="132" t="s">
        <v>144</v>
      </c>
      <c r="C22" s="98"/>
      <c r="D22" s="98"/>
      <c r="E22" s="98"/>
      <c r="F22" s="98"/>
      <c r="G22" s="98"/>
      <c r="H22" s="98"/>
      <c r="I22" s="114"/>
      <c r="J22" s="186"/>
      <c r="K22" s="9"/>
    </row>
    <row r="23" spans="1:10" ht="15.75" customHeight="1">
      <c r="A23" s="104" t="s">
        <v>143</v>
      </c>
      <c r="B23" s="142">
        <v>0.5</v>
      </c>
      <c r="C23" s="118"/>
      <c r="D23" s="106"/>
      <c r="E23" s="106"/>
      <c r="F23" s="106"/>
      <c r="G23" s="106"/>
      <c r="H23" s="106"/>
      <c r="I23" s="107">
        <f>IF(X2=TRUE,B23*24*365/1000,0)</f>
        <v>0</v>
      </c>
      <c r="J23" s="184">
        <f t="shared" si="0"/>
        <v>0</v>
      </c>
    </row>
    <row r="24" spans="1:10" ht="15.75" customHeight="1">
      <c r="A24" s="111" t="s">
        <v>145</v>
      </c>
      <c r="B24" s="143">
        <v>1.5</v>
      </c>
      <c r="C24" s="119"/>
      <c r="D24" s="109"/>
      <c r="E24" s="109"/>
      <c r="F24" s="109"/>
      <c r="G24" s="109"/>
      <c r="H24" s="109"/>
      <c r="I24" s="110">
        <f>IF(X3=TRUE,B24*24*365/1000,0)</f>
        <v>0</v>
      </c>
      <c r="J24" s="187">
        <f t="shared" si="0"/>
        <v>0</v>
      </c>
    </row>
    <row r="25" spans="1:10" ht="15.75" customHeight="1">
      <c r="A25" s="111" t="s">
        <v>146</v>
      </c>
      <c r="B25" s="143">
        <v>3</v>
      </c>
      <c r="C25" s="119"/>
      <c r="D25" s="109"/>
      <c r="E25" s="109"/>
      <c r="F25" s="109"/>
      <c r="G25" s="109"/>
      <c r="H25" s="109"/>
      <c r="I25" s="110">
        <f>IF(X5=TRUE,B25*24*365/1000,0)</f>
        <v>0</v>
      </c>
      <c r="J25" s="187">
        <f t="shared" si="0"/>
        <v>0</v>
      </c>
    </row>
    <row r="26" spans="1:10" ht="15.75" customHeight="1">
      <c r="A26" s="112" t="s">
        <v>147</v>
      </c>
      <c r="B26" s="144">
        <v>15</v>
      </c>
      <c r="C26" s="120"/>
      <c r="D26" s="113"/>
      <c r="E26" s="113"/>
      <c r="F26" s="113"/>
      <c r="G26" s="113"/>
      <c r="H26" s="113"/>
      <c r="I26" s="114">
        <f>IF(X6=TRUE,B26*24*365/1000,0)</f>
        <v>0</v>
      </c>
      <c r="J26" s="185">
        <f t="shared" si="0"/>
        <v>0</v>
      </c>
    </row>
    <row r="27" spans="8:10" ht="16.5" customHeight="1">
      <c r="H27" s="116" t="s">
        <v>53</v>
      </c>
      <c r="I27" s="117">
        <f>SUM(I7:I26)</f>
        <v>130.47849999999997</v>
      </c>
      <c r="J27" s="188">
        <f>peau*I27</f>
        <v>417.5311999999999</v>
      </c>
    </row>
    <row r="28" ht="12.75">
      <c r="A28" s="8" t="s">
        <v>0</v>
      </c>
    </row>
    <row r="29" spans="1:10" ht="12.75">
      <c r="A29" s="125"/>
      <c r="B29" s="126" t="s">
        <v>72</v>
      </c>
      <c r="C29" s="126" t="s">
        <v>73</v>
      </c>
      <c r="D29" s="232" t="s">
        <v>74</v>
      </c>
      <c r="E29" s="233"/>
      <c r="J29" s="6">
        <v>491</v>
      </c>
    </row>
    <row r="30" spans="1:8" ht="12.75">
      <c r="A30" s="104" t="s">
        <v>1</v>
      </c>
      <c r="B30" s="127">
        <v>0.6666666666666666</v>
      </c>
      <c r="C30" s="128">
        <f>I27*B30</f>
        <v>86.98566666666665</v>
      </c>
      <c r="D30" s="228">
        <f>C30*peau</f>
        <v>278.35413333333327</v>
      </c>
      <c r="E30" s="229"/>
      <c r="F30" s="223" t="s">
        <v>75</v>
      </c>
      <c r="G30" s="224"/>
      <c r="H30" s="225"/>
    </row>
    <row r="31" spans="1:8" ht="12.75">
      <c r="A31" s="112" t="s">
        <v>71</v>
      </c>
      <c r="B31" s="129">
        <f>1-B30</f>
        <v>0.33333333333333337</v>
      </c>
      <c r="C31" s="130">
        <f>I27*1/3</f>
        <v>43.49283333333332</v>
      </c>
      <c r="D31" s="230">
        <f>C31*B3</f>
        <v>260.95699999999994</v>
      </c>
      <c r="E31" s="231"/>
      <c r="F31" s="220">
        <f>C31*34</f>
        <v>1478.756333333333</v>
      </c>
      <c r="G31" s="221"/>
      <c r="H31" s="222"/>
    </row>
    <row r="32" spans="1:9" ht="15">
      <c r="A32" s="6" t="s">
        <v>117</v>
      </c>
      <c r="C32" s="131" t="s">
        <v>53</v>
      </c>
      <c r="D32" s="218">
        <f>SUM(D30:E31)</f>
        <v>539.3111333333331</v>
      </c>
      <c r="E32" s="219"/>
      <c r="I32" s="7"/>
    </row>
    <row r="34" spans="1:2" ht="12.75">
      <c r="A34" s="6" t="s">
        <v>66</v>
      </c>
      <c r="B34" s="9">
        <f>I27/365*1000</f>
        <v>357.47534246575333</v>
      </c>
    </row>
  </sheetData>
  <mergeCells count="26">
    <mergeCell ref="B5:G5"/>
    <mergeCell ref="D9:E9"/>
    <mergeCell ref="D10:E10"/>
    <mergeCell ref="D11:E11"/>
    <mergeCell ref="D12:E12"/>
    <mergeCell ref="D13:E13"/>
    <mergeCell ref="F9:G9"/>
    <mergeCell ref="F10:G10"/>
    <mergeCell ref="F11:G11"/>
    <mergeCell ref="F12:G12"/>
    <mergeCell ref="F13:G13"/>
    <mergeCell ref="F14:G14"/>
    <mergeCell ref="D30:E30"/>
    <mergeCell ref="D31:E31"/>
    <mergeCell ref="D29:E29"/>
    <mergeCell ref="D17:E17"/>
    <mergeCell ref="D21:E21"/>
    <mergeCell ref="F15:G15"/>
    <mergeCell ref="D14:E14"/>
    <mergeCell ref="D15:E15"/>
    <mergeCell ref="D32:E32"/>
    <mergeCell ref="F31:H31"/>
    <mergeCell ref="F30:H30"/>
    <mergeCell ref="D18:E18"/>
    <mergeCell ref="D19:E19"/>
    <mergeCell ref="D20:E20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B47"/>
  <sheetViews>
    <sheetView showGridLines="0" tabSelected="1" zoomScale="125" zoomScaleNormal="125" workbookViewId="0" topLeftCell="A14">
      <selection activeCell="B35" sqref="B35"/>
    </sheetView>
  </sheetViews>
  <sheetFormatPr defaultColWidth="22.125" defaultRowHeight="12"/>
  <cols>
    <col min="1" max="1" width="22.125" style="25" customWidth="1"/>
    <col min="2" max="2" width="8.625" style="25" customWidth="1"/>
    <col min="3" max="3" width="8.50390625" style="25" customWidth="1"/>
    <col min="4" max="4" width="3.875" style="25" customWidth="1"/>
    <col min="5" max="5" width="8.00390625" style="25" customWidth="1"/>
    <col min="6" max="6" width="9.50390625" style="25" customWidth="1"/>
    <col min="7" max="7" width="3.375" style="25" customWidth="1"/>
    <col min="8" max="8" width="8.625" style="25" customWidth="1"/>
    <col min="9" max="9" width="13.00390625" style="25" customWidth="1"/>
    <col min="10" max="10" width="7.875" style="25" customWidth="1"/>
    <col min="11" max="11" width="4.625" style="25" customWidth="1"/>
    <col min="12" max="12" width="8.50390625" style="25" customWidth="1"/>
    <col min="13" max="16384" width="22.125" style="25" customWidth="1"/>
  </cols>
  <sheetData>
    <row r="1" spans="1:28" s="27" customFormat="1" ht="18.75">
      <c r="A1" s="24" t="s">
        <v>39</v>
      </c>
      <c r="Y1" s="27" t="b">
        <v>0</v>
      </c>
      <c r="Z1" s="27" t="b">
        <v>1</v>
      </c>
      <c r="AA1" s="27" t="b">
        <v>0</v>
      </c>
      <c r="AB1" s="27" t="b">
        <v>1</v>
      </c>
    </row>
    <row r="2" spans="1:9" s="27" customFormat="1" ht="18.75">
      <c r="A2" s="24" t="s">
        <v>40</v>
      </c>
      <c r="C2" s="165">
        <v>0.14</v>
      </c>
      <c r="D2" s="27" t="s">
        <v>89</v>
      </c>
      <c r="G2" s="24"/>
      <c r="I2" s="84"/>
    </row>
    <row r="3" spans="2:28" ht="15.75" customHeight="1">
      <c r="B3" s="241" t="s">
        <v>36</v>
      </c>
      <c r="C3" s="241"/>
      <c r="D3" s="241"/>
      <c r="E3" s="241"/>
      <c r="F3" s="241"/>
      <c r="G3" s="241"/>
      <c r="H3" s="28"/>
      <c r="I3" s="29" t="s">
        <v>41</v>
      </c>
      <c r="J3" s="29" t="s">
        <v>42</v>
      </c>
      <c r="Y3" s="25" t="b">
        <v>0</v>
      </c>
      <c r="Z3" s="25" t="b">
        <v>1</v>
      </c>
      <c r="AA3" s="25" t="b">
        <v>0</v>
      </c>
      <c r="AB3" s="25" t="b">
        <v>1</v>
      </c>
    </row>
    <row r="4" spans="1:26" s="30" customFormat="1" ht="63">
      <c r="A4" s="56" t="s">
        <v>35</v>
      </c>
      <c r="B4" s="59"/>
      <c r="C4" s="59"/>
      <c r="D4" s="59"/>
      <c r="E4" s="59"/>
      <c r="F4" s="59"/>
      <c r="G4" s="59"/>
      <c r="H4" s="90" t="s">
        <v>150</v>
      </c>
      <c r="I4" s="59"/>
      <c r="J4" s="89"/>
      <c r="L4" s="197"/>
      <c r="Y4" s="30" t="b">
        <v>0</v>
      </c>
      <c r="Z4" s="30" t="b">
        <v>1</v>
      </c>
    </row>
    <row r="5" spans="1:12" ht="30">
      <c r="A5" s="41" t="s">
        <v>26</v>
      </c>
      <c r="B5" s="41" t="s">
        <v>27</v>
      </c>
      <c r="C5" s="147">
        <v>0.87</v>
      </c>
      <c r="D5" s="74"/>
      <c r="E5" s="41" t="s">
        <v>28</v>
      </c>
      <c r="F5" s="147">
        <v>0.64</v>
      </c>
      <c r="G5" s="74"/>
      <c r="H5" s="75">
        <v>5</v>
      </c>
      <c r="I5" s="43">
        <f>IF(Y1=TRUE,C5*H5*52,IF(Z1=TRUE,F5*H5*52,0))</f>
        <v>166.4</v>
      </c>
      <c r="J5" s="190">
        <f>PELEC*I5</f>
        <v>23.296000000000003</v>
      </c>
      <c r="K5" s="32"/>
      <c r="L5" s="209">
        <f>I5/$I$43</f>
        <v>0.04991076650819598</v>
      </c>
    </row>
    <row r="6" spans="1:12" ht="30">
      <c r="A6" s="44" t="s">
        <v>29</v>
      </c>
      <c r="B6" s="44" t="s">
        <v>27</v>
      </c>
      <c r="C6" s="148">
        <v>3.9</v>
      </c>
      <c r="D6" s="76"/>
      <c r="E6" s="44" t="s">
        <v>28</v>
      </c>
      <c r="F6" s="148">
        <v>3.2</v>
      </c>
      <c r="G6" s="76"/>
      <c r="H6" s="77">
        <v>5</v>
      </c>
      <c r="I6" s="46">
        <f>IF(Y3=TRUE,C6*H6*52,IF(Z3=TRUE,F6*H6*52,0))</f>
        <v>832</v>
      </c>
      <c r="J6" s="191">
        <f>PELEC*I6</f>
        <v>116.48000000000002</v>
      </c>
      <c r="K6" s="32"/>
      <c r="L6" s="209">
        <f aca="true" t="shared" si="0" ref="L6:L42">I6/$I$43</f>
        <v>0.2495538325409799</v>
      </c>
    </row>
    <row r="7" spans="1:13" ht="30">
      <c r="A7" s="47" t="s">
        <v>30</v>
      </c>
      <c r="B7" s="47" t="s">
        <v>27</v>
      </c>
      <c r="C7" s="149">
        <v>1.6</v>
      </c>
      <c r="D7" s="78"/>
      <c r="E7" s="47" t="s">
        <v>28</v>
      </c>
      <c r="F7" s="149">
        <v>1.25</v>
      </c>
      <c r="G7" s="78"/>
      <c r="H7" s="79">
        <v>4</v>
      </c>
      <c r="I7" s="49">
        <f>IF(Y4=TRUE,C7*H7*52,IF(Z4=TRUE,F7*H7*52,0))</f>
        <v>260</v>
      </c>
      <c r="J7" s="192">
        <f>PELEC*I7</f>
        <v>36.400000000000006</v>
      </c>
      <c r="K7" s="32"/>
      <c r="L7" s="209">
        <f t="shared" si="0"/>
        <v>0.07798557266905622</v>
      </c>
      <c r="M7" s="210">
        <f>SUM(I5:I7)</f>
        <v>1258.4</v>
      </c>
    </row>
    <row r="8" spans="1:12" ht="15.75">
      <c r="A8" s="50" t="s">
        <v>31</v>
      </c>
      <c r="B8" s="80"/>
      <c r="C8" s="150"/>
      <c r="D8" s="81"/>
      <c r="E8" s="80"/>
      <c r="F8" s="150"/>
      <c r="G8" s="81"/>
      <c r="H8" s="51"/>
      <c r="I8" s="42"/>
      <c r="J8" s="193"/>
      <c r="L8" s="209">
        <f t="shared" si="0"/>
        <v>0</v>
      </c>
    </row>
    <row r="9" spans="1:12" ht="19.5" customHeight="1">
      <c r="A9" s="44" t="s">
        <v>43</v>
      </c>
      <c r="B9" s="44" t="s">
        <v>27</v>
      </c>
      <c r="C9" s="151">
        <v>373</v>
      </c>
      <c r="D9" s="82"/>
      <c r="E9" s="44" t="s">
        <v>28</v>
      </c>
      <c r="F9" s="153">
        <v>253</v>
      </c>
      <c r="G9" s="82"/>
      <c r="H9" s="45"/>
      <c r="I9" s="46">
        <f>IF(AA1=TRUE,C9,IF(AB1=TRUE,F9,0))</f>
        <v>253</v>
      </c>
      <c r="J9" s="191">
        <f>PELEC*I9</f>
        <v>35.42</v>
      </c>
      <c r="K9" s="32"/>
      <c r="L9" s="209">
        <f t="shared" si="0"/>
        <v>0.07588596109719702</v>
      </c>
    </row>
    <row r="10" spans="1:13" ht="22.5" customHeight="1">
      <c r="A10" s="47" t="s">
        <v>44</v>
      </c>
      <c r="B10" s="47" t="s">
        <v>27</v>
      </c>
      <c r="C10" s="152">
        <v>620</v>
      </c>
      <c r="D10" s="83"/>
      <c r="E10" s="47" t="s">
        <v>28</v>
      </c>
      <c r="F10" s="154">
        <v>556</v>
      </c>
      <c r="G10" s="83"/>
      <c r="H10" s="48"/>
      <c r="I10" s="49">
        <f>IF(AA3=TRUE,C10,IF(AB3=TRUE,F10,0))</f>
        <v>556</v>
      </c>
      <c r="J10" s="192">
        <f>PELEC*I10</f>
        <v>77.84</v>
      </c>
      <c r="K10" s="32"/>
      <c r="L10" s="209">
        <f t="shared" si="0"/>
        <v>0.16676914770767406</v>
      </c>
      <c r="M10" s="210">
        <f>SUM(I9:I10)</f>
        <v>809</v>
      </c>
    </row>
    <row r="11" spans="1:12" ht="16.5" customHeight="1">
      <c r="A11" s="56" t="s">
        <v>45</v>
      </c>
      <c r="B11" s="57"/>
      <c r="C11" s="242" t="s">
        <v>46</v>
      </c>
      <c r="D11" s="242"/>
      <c r="E11" s="243" t="s">
        <v>47</v>
      </c>
      <c r="F11" s="243"/>
      <c r="G11" s="58"/>
      <c r="H11" s="59"/>
      <c r="I11" s="60"/>
      <c r="J11" s="194"/>
      <c r="L11" s="209"/>
    </row>
    <row r="12" spans="1:12" ht="15" customHeight="1">
      <c r="A12" s="34" t="s">
        <v>32</v>
      </c>
      <c r="B12" s="155">
        <v>60</v>
      </c>
      <c r="C12" s="61">
        <v>2</v>
      </c>
      <c r="D12" s="62"/>
      <c r="E12" s="244">
        <v>3</v>
      </c>
      <c r="F12" s="244"/>
      <c r="G12" s="52"/>
      <c r="H12" s="31"/>
      <c r="I12" s="46">
        <f>B12*C12*E12*365/1000</f>
        <v>131.4</v>
      </c>
      <c r="J12" s="195">
        <f>PELEC*I12</f>
        <v>18.396</v>
      </c>
      <c r="L12" s="209">
        <f t="shared" si="0"/>
        <v>0.03941270864889995</v>
      </c>
    </row>
    <row r="13" spans="1:12" ht="15" customHeight="1">
      <c r="A13" s="34"/>
      <c r="B13" s="155">
        <v>100</v>
      </c>
      <c r="C13" s="61">
        <v>2</v>
      </c>
      <c r="D13" s="62"/>
      <c r="E13" s="245">
        <v>2</v>
      </c>
      <c r="F13" s="245"/>
      <c r="G13" s="52"/>
      <c r="H13" s="31"/>
      <c r="I13" s="46">
        <f aca="true" t="shared" si="1" ref="I13:I38">B13*C13*E13*365/1000</f>
        <v>146</v>
      </c>
      <c r="J13" s="195">
        <f aca="true" t="shared" si="2" ref="J13:J42">PELEC*I13</f>
        <v>20.44</v>
      </c>
      <c r="L13" s="209">
        <f t="shared" si="0"/>
        <v>0.04379189849877772</v>
      </c>
    </row>
    <row r="14" spans="1:12" ht="15" customHeight="1">
      <c r="A14" s="34" t="s">
        <v>49</v>
      </c>
      <c r="B14" s="155">
        <v>20</v>
      </c>
      <c r="C14" s="61">
        <v>4</v>
      </c>
      <c r="D14" s="62"/>
      <c r="E14" s="245">
        <v>3</v>
      </c>
      <c r="F14" s="245"/>
      <c r="G14" s="52"/>
      <c r="H14" s="31"/>
      <c r="I14" s="46">
        <f t="shared" si="1"/>
        <v>87.6</v>
      </c>
      <c r="J14" s="195">
        <f t="shared" si="2"/>
        <v>12.264000000000001</v>
      </c>
      <c r="L14" s="209">
        <f t="shared" si="0"/>
        <v>0.026275139099266633</v>
      </c>
    </row>
    <row r="15" spans="1:13" ht="15" customHeight="1">
      <c r="A15" s="34" t="s">
        <v>48</v>
      </c>
      <c r="B15" s="155">
        <v>300</v>
      </c>
      <c r="C15" s="61">
        <v>0</v>
      </c>
      <c r="D15" s="62"/>
      <c r="E15" s="245">
        <v>3</v>
      </c>
      <c r="F15" s="245"/>
      <c r="G15" s="52"/>
      <c r="H15" s="31"/>
      <c r="I15" s="46">
        <f t="shared" si="1"/>
        <v>0</v>
      </c>
      <c r="J15" s="195">
        <f t="shared" si="2"/>
        <v>0</v>
      </c>
      <c r="L15" s="209">
        <f t="shared" si="0"/>
        <v>0</v>
      </c>
      <c r="M15" s="210">
        <f>SUM(I12:I14)</f>
        <v>365</v>
      </c>
    </row>
    <row r="16" spans="1:12" ht="15" customHeight="1">
      <c r="A16" s="34" t="s">
        <v>141</v>
      </c>
      <c r="B16" s="155">
        <v>50</v>
      </c>
      <c r="C16" s="61">
        <v>0</v>
      </c>
      <c r="D16" s="62"/>
      <c r="E16" s="245">
        <v>4</v>
      </c>
      <c r="F16" s="245"/>
      <c r="G16" s="52"/>
      <c r="H16" s="31"/>
      <c r="I16" s="46">
        <f>B16*C16*E16*365/1000</f>
        <v>0</v>
      </c>
      <c r="J16" s="195">
        <f t="shared" si="2"/>
        <v>0</v>
      </c>
      <c r="L16" s="209">
        <f t="shared" si="0"/>
        <v>0</v>
      </c>
    </row>
    <row r="17" spans="1:12" ht="15" customHeight="1">
      <c r="A17" s="35" t="s">
        <v>141</v>
      </c>
      <c r="B17" s="156"/>
      <c r="C17" s="64"/>
      <c r="D17" s="65"/>
      <c r="E17" s="246"/>
      <c r="F17" s="246"/>
      <c r="G17" s="54"/>
      <c r="H17" s="36"/>
      <c r="I17" s="49">
        <f t="shared" si="1"/>
        <v>0</v>
      </c>
      <c r="J17" s="195">
        <f t="shared" si="2"/>
        <v>0</v>
      </c>
      <c r="L17" s="209">
        <f t="shared" si="0"/>
        <v>0</v>
      </c>
    </row>
    <row r="18" spans="1:12" ht="15" customHeight="1">
      <c r="A18" s="56" t="s">
        <v>134</v>
      </c>
      <c r="B18" s="73"/>
      <c r="C18" s="242" t="s">
        <v>46</v>
      </c>
      <c r="D18" s="242"/>
      <c r="E18" s="243" t="s">
        <v>47</v>
      </c>
      <c r="F18" s="243"/>
      <c r="G18" s="243"/>
      <c r="H18" s="59"/>
      <c r="I18" s="49"/>
      <c r="J18" s="194"/>
      <c r="L18" s="209"/>
    </row>
    <row r="19" spans="1:12" ht="15" customHeight="1">
      <c r="A19" s="34" t="s">
        <v>50</v>
      </c>
      <c r="B19" s="155">
        <v>80</v>
      </c>
      <c r="C19" s="61">
        <v>1</v>
      </c>
      <c r="D19" s="62"/>
      <c r="E19" s="247">
        <v>4</v>
      </c>
      <c r="F19" s="247"/>
      <c r="G19" s="39"/>
      <c r="H19" s="31"/>
      <c r="I19" s="46">
        <f t="shared" si="1"/>
        <v>116.8</v>
      </c>
      <c r="J19" s="195">
        <f t="shared" si="2"/>
        <v>16.352</v>
      </c>
      <c r="L19" s="209">
        <f t="shared" si="0"/>
        <v>0.035033518799022174</v>
      </c>
    </row>
    <row r="20" spans="1:12" ht="15" customHeight="1">
      <c r="A20" s="34" t="s">
        <v>51</v>
      </c>
      <c r="B20" s="155">
        <v>20</v>
      </c>
      <c r="C20" s="61">
        <v>1</v>
      </c>
      <c r="D20" s="62"/>
      <c r="E20" s="245">
        <v>1</v>
      </c>
      <c r="F20" s="245"/>
      <c r="G20" s="52"/>
      <c r="H20" s="31"/>
      <c r="I20" s="46">
        <f t="shared" si="1"/>
        <v>7.3</v>
      </c>
      <c r="J20" s="195">
        <f t="shared" si="2"/>
        <v>1.022</v>
      </c>
      <c r="L20" s="209">
        <f t="shared" si="0"/>
        <v>0.002189594924938886</v>
      </c>
    </row>
    <row r="21" spans="1:12" ht="15" customHeight="1">
      <c r="A21" s="34" t="s">
        <v>133</v>
      </c>
      <c r="B21" s="155">
        <v>30</v>
      </c>
      <c r="C21" s="61">
        <v>1</v>
      </c>
      <c r="D21" s="62"/>
      <c r="E21" s="245">
        <v>3</v>
      </c>
      <c r="F21" s="245"/>
      <c r="G21" s="52"/>
      <c r="H21" s="31"/>
      <c r="I21" s="46">
        <f t="shared" si="1"/>
        <v>32.85</v>
      </c>
      <c r="J21" s="195">
        <f t="shared" si="2"/>
        <v>4.599</v>
      </c>
      <c r="L21" s="209">
        <f t="shared" si="0"/>
        <v>0.009853177162224988</v>
      </c>
    </row>
    <row r="22" spans="1:12" ht="15" customHeight="1">
      <c r="A22" s="34" t="s">
        <v>16</v>
      </c>
      <c r="B22" s="155">
        <v>10</v>
      </c>
      <c r="C22" s="61">
        <v>1</v>
      </c>
      <c r="D22" s="62"/>
      <c r="E22" s="245">
        <v>24</v>
      </c>
      <c r="F22" s="245"/>
      <c r="G22" s="52"/>
      <c r="H22" s="31"/>
      <c r="I22" s="46">
        <f>B22*C22*E22*365/1000</f>
        <v>87.6</v>
      </c>
      <c r="J22" s="195">
        <f t="shared" si="2"/>
        <v>12.264000000000001</v>
      </c>
      <c r="L22" s="209">
        <f t="shared" si="0"/>
        <v>0.026275139099266633</v>
      </c>
    </row>
    <row r="23" spans="1:13" ht="15" customHeight="1">
      <c r="A23" s="35" t="s">
        <v>141</v>
      </c>
      <c r="B23" s="156"/>
      <c r="C23" s="64"/>
      <c r="D23" s="65"/>
      <c r="E23" s="246"/>
      <c r="F23" s="246"/>
      <c r="G23" s="54"/>
      <c r="H23" s="36"/>
      <c r="I23" s="49">
        <f t="shared" si="1"/>
        <v>0</v>
      </c>
      <c r="J23" s="195">
        <f t="shared" si="2"/>
        <v>0</v>
      </c>
      <c r="L23" s="209">
        <f t="shared" si="0"/>
        <v>0</v>
      </c>
      <c r="M23" s="210">
        <f>SUM(I19:I23)</f>
        <v>244.54999999999998</v>
      </c>
    </row>
    <row r="24" spans="1:12" ht="15" customHeight="1">
      <c r="A24" s="56" t="s">
        <v>135</v>
      </c>
      <c r="B24" s="59"/>
      <c r="C24" s="242" t="s">
        <v>46</v>
      </c>
      <c r="D24" s="242"/>
      <c r="E24" s="243" t="s">
        <v>47</v>
      </c>
      <c r="F24" s="243"/>
      <c r="G24" s="243"/>
      <c r="H24" s="59"/>
      <c r="I24" s="49"/>
      <c r="J24" s="194"/>
      <c r="L24" s="209"/>
    </row>
    <row r="25" spans="1:12" ht="15" customHeight="1">
      <c r="A25" s="34" t="s">
        <v>77</v>
      </c>
      <c r="B25" s="155">
        <v>1400</v>
      </c>
      <c r="C25" s="67">
        <v>1</v>
      </c>
      <c r="D25" s="68"/>
      <c r="E25" s="247">
        <v>0.25</v>
      </c>
      <c r="F25" s="247"/>
      <c r="G25" s="52"/>
      <c r="H25" s="31"/>
      <c r="I25" s="46">
        <f t="shared" si="1"/>
        <v>127.75</v>
      </c>
      <c r="J25" s="195">
        <f t="shared" si="2"/>
        <v>17.885</v>
      </c>
      <c r="L25" s="209">
        <f t="shared" si="0"/>
        <v>0.038317911186430506</v>
      </c>
    </row>
    <row r="26" spans="1:12" ht="15" customHeight="1">
      <c r="A26" s="34" t="s">
        <v>78</v>
      </c>
      <c r="B26" s="155">
        <v>1000</v>
      </c>
      <c r="C26" s="67">
        <v>1</v>
      </c>
      <c r="D26" s="68"/>
      <c r="E26" s="245">
        <v>0.5</v>
      </c>
      <c r="F26" s="245"/>
      <c r="G26" s="39"/>
      <c r="H26" s="31"/>
      <c r="I26" s="46">
        <f t="shared" si="1"/>
        <v>182.5</v>
      </c>
      <c r="J26" s="195">
        <f t="shared" si="2"/>
        <v>25.55</v>
      </c>
      <c r="L26" s="209">
        <f t="shared" si="0"/>
        <v>0.05473987312347215</v>
      </c>
    </row>
    <row r="27" spans="1:12" ht="15" customHeight="1">
      <c r="A27" s="34" t="s">
        <v>79</v>
      </c>
      <c r="B27" s="155">
        <v>1400</v>
      </c>
      <c r="C27" s="67">
        <v>1</v>
      </c>
      <c r="D27" s="68"/>
      <c r="E27" s="245">
        <v>0.25</v>
      </c>
      <c r="F27" s="245"/>
      <c r="G27" s="52"/>
      <c r="H27" s="31"/>
      <c r="I27" s="46">
        <f t="shared" si="1"/>
        <v>127.75</v>
      </c>
      <c r="J27" s="195">
        <f t="shared" si="2"/>
        <v>17.885</v>
      </c>
      <c r="L27" s="209">
        <f t="shared" si="0"/>
        <v>0.038317911186430506</v>
      </c>
    </row>
    <row r="28" spans="1:12" ht="15" customHeight="1">
      <c r="A28" s="34" t="s">
        <v>80</v>
      </c>
      <c r="B28" s="155">
        <v>1600</v>
      </c>
      <c r="C28" s="67"/>
      <c r="D28" s="68"/>
      <c r="E28" s="245">
        <v>0.25</v>
      </c>
      <c r="F28" s="245"/>
      <c r="G28" s="52"/>
      <c r="H28" s="31"/>
      <c r="I28" s="46">
        <f t="shared" si="1"/>
        <v>0</v>
      </c>
      <c r="J28" s="195">
        <f t="shared" si="2"/>
        <v>0</v>
      </c>
      <c r="L28" s="209">
        <f t="shared" si="0"/>
        <v>0</v>
      </c>
    </row>
    <row r="29" spans="1:12" ht="15" customHeight="1">
      <c r="A29" s="34" t="s">
        <v>81</v>
      </c>
      <c r="B29" s="155">
        <v>1200</v>
      </c>
      <c r="C29" s="67">
        <v>1</v>
      </c>
      <c r="D29" s="68"/>
      <c r="E29" s="245">
        <v>0.5</v>
      </c>
      <c r="F29" s="245"/>
      <c r="G29" s="52"/>
      <c r="H29" s="31"/>
      <c r="I29" s="46">
        <f t="shared" si="1"/>
        <v>219</v>
      </c>
      <c r="J29" s="195">
        <f t="shared" si="2"/>
        <v>30.660000000000004</v>
      </c>
      <c r="L29" s="209">
        <f t="shared" si="0"/>
        <v>0.06568784774816658</v>
      </c>
    </row>
    <row r="30" spans="1:12" ht="15" customHeight="1">
      <c r="A30" s="34" t="s">
        <v>82</v>
      </c>
      <c r="B30" s="155">
        <v>100</v>
      </c>
      <c r="C30" s="67"/>
      <c r="D30" s="68"/>
      <c r="E30" s="245">
        <v>24</v>
      </c>
      <c r="F30" s="245"/>
      <c r="G30" s="52"/>
      <c r="H30" s="31"/>
      <c r="I30" s="46">
        <f t="shared" si="1"/>
        <v>0</v>
      </c>
      <c r="J30" s="195">
        <f t="shared" si="2"/>
        <v>0</v>
      </c>
      <c r="L30" s="209">
        <f t="shared" si="0"/>
        <v>0</v>
      </c>
    </row>
    <row r="31" spans="1:12" ht="15" customHeight="1">
      <c r="A31" s="34" t="s">
        <v>141</v>
      </c>
      <c r="B31" s="155"/>
      <c r="C31" s="67">
        <v>1</v>
      </c>
      <c r="D31" s="68"/>
      <c r="E31" s="245">
        <v>12</v>
      </c>
      <c r="F31" s="245"/>
      <c r="G31" s="52"/>
      <c r="H31" s="31"/>
      <c r="I31" s="46">
        <f>B31*C31*E31*365/1000</f>
        <v>0</v>
      </c>
      <c r="J31" s="195">
        <f t="shared" si="2"/>
        <v>0</v>
      </c>
      <c r="L31" s="209">
        <f t="shared" si="0"/>
        <v>0</v>
      </c>
    </row>
    <row r="32" spans="1:19" ht="15" customHeight="1">
      <c r="A32" s="35" t="s">
        <v>141</v>
      </c>
      <c r="B32" s="156"/>
      <c r="C32" s="69"/>
      <c r="D32" s="70"/>
      <c r="E32" s="246"/>
      <c r="F32" s="246"/>
      <c r="G32" s="40"/>
      <c r="H32" s="36"/>
      <c r="I32" s="49">
        <f t="shared" si="1"/>
        <v>0</v>
      </c>
      <c r="J32" s="195">
        <f t="shared" si="2"/>
        <v>0</v>
      </c>
      <c r="K32" s="30"/>
      <c r="L32" s="209">
        <f t="shared" si="0"/>
        <v>0</v>
      </c>
      <c r="M32" s="211">
        <f>SUM(I25:I32)</f>
        <v>657</v>
      </c>
      <c r="N32" s="30"/>
      <c r="O32" s="30"/>
      <c r="P32" s="30"/>
      <c r="Q32" s="30"/>
      <c r="R32" s="30" t="s">
        <v>34</v>
      </c>
      <c r="S32" s="30"/>
    </row>
    <row r="33" spans="1:12" ht="15" customHeight="1">
      <c r="A33" s="56" t="s">
        <v>136</v>
      </c>
      <c r="B33" s="57"/>
      <c r="C33" s="242" t="s">
        <v>46</v>
      </c>
      <c r="D33" s="242"/>
      <c r="E33" s="243" t="s">
        <v>47</v>
      </c>
      <c r="F33" s="243"/>
      <c r="G33" s="243"/>
      <c r="H33" s="57"/>
      <c r="I33" s="49"/>
      <c r="J33" s="194"/>
      <c r="L33" s="209"/>
    </row>
    <row r="34" spans="1:12" ht="15" customHeight="1">
      <c r="A34" s="34" t="s">
        <v>50</v>
      </c>
      <c r="B34" s="155">
        <v>10</v>
      </c>
      <c r="C34" s="61"/>
      <c r="D34" s="62"/>
      <c r="E34" s="244">
        <v>20</v>
      </c>
      <c r="F34" s="244"/>
      <c r="G34" s="53"/>
      <c r="H34" s="53"/>
      <c r="I34" s="46">
        <f t="shared" si="1"/>
        <v>0</v>
      </c>
      <c r="J34" s="195">
        <f t="shared" si="2"/>
        <v>0</v>
      </c>
      <c r="L34" s="209">
        <f t="shared" si="0"/>
        <v>0</v>
      </c>
    </row>
    <row r="35" spans="1:12" ht="15" customHeight="1">
      <c r="A35" s="34" t="s">
        <v>51</v>
      </c>
      <c r="B35" s="155">
        <v>10</v>
      </c>
      <c r="C35" s="61"/>
      <c r="D35" s="62"/>
      <c r="E35" s="250">
        <v>23</v>
      </c>
      <c r="F35" s="250"/>
      <c r="G35" s="53"/>
      <c r="H35" s="53"/>
      <c r="I35" s="46">
        <f t="shared" si="1"/>
        <v>0</v>
      </c>
      <c r="J35" s="195">
        <f t="shared" si="2"/>
        <v>0</v>
      </c>
      <c r="L35" s="209">
        <f t="shared" si="0"/>
        <v>0</v>
      </c>
    </row>
    <row r="36" spans="1:12" ht="15" customHeight="1">
      <c r="A36" s="34" t="s">
        <v>133</v>
      </c>
      <c r="B36" s="155">
        <v>5</v>
      </c>
      <c r="C36" s="61"/>
      <c r="D36" s="62"/>
      <c r="E36" s="250">
        <v>21</v>
      </c>
      <c r="F36" s="250"/>
      <c r="G36" s="53"/>
      <c r="H36" s="53"/>
      <c r="I36" s="46">
        <f t="shared" si="1"/>
        <v>0</v>
      </c>
      <c r="J36" s="195">
        <f t="shared" si="2"/>
        <v>0</v>
      </c>
      <c r="L36" s="209">
        <f t="shared" si="0"/>
        <v>0</v>
      </c>
    </row>
    <row r="37" spans="1:12" ht="15" customHeight="1">
      <c r="A37" s="34" t="s">
        <v>83</v>
      </c>
      <c r="B37" s="155">
        <v>10</v>
      </c>
      <c r="C37" s="61"/>
      <c r="D37" s="62"/>
      <c r="E37" s="250"/>
      <c r="F37" s="252"/>
      <c r="G37" s="53"/>
      <c r="H37" s="53"/>
      <c r="I37" s="46">
        <f>B37*C37*E37*365/1000</f>
        <v>0</v>
      </c>
      <c r="J37" s="195">
        <f t="shared" si="2"/>
        <v>0</v>
      </c>
      <c r="L37" s="209">
        <f t="shared" si="0"/>
        <v>0</v>
      </c>
    </row>
    <row r="38" spans="1:13" ht="15" customHeight="1">
      <c r="A38" s="35" t="s">
        <v>141</v>
      </c>
      <c r="B38" s="156"/>
      <c r="C38" s="64"/>
      <c r="D38" s="72"/>
      <c r="E38" s="251">
        <v>24</v>
      </c>
      <c r="F38" s="251"/>
      <c r="G38" s="55"/>
      <c r="H38" s="55"/>
      <c r="I38" s="49">
        <f t="shared" si="1"/>
        <v>0</v>
      </c>
      <c r="J38" s="195">
        <f t="shared" si="2"/>
        <v>0</v>
      </c>
      <c r="L38" s="209">
        <f t="shared" si="0"/>
        <v>0</v>
      </c>
      <c r="M38" s="210">
        <f>SUM(I34:I38)</f>
        <v>0</v>
      </c>
    </row>
    <row r="39" spans="1:12" ht="15" customHeight="1">
      <c r="A39" s="37" t="s">
        <v>54</v>
      </c>
      <c r="B39" s="38"/>
      <c r="C39" s="248" t="s">
        <v>46</v>
      </c>
      <c r="D39" s="248"/>
      <c r="E39" s="249" t="s">
        <v>47</v>
      </c>
      <c r="F39" s="249"/>
      <c r="G39" s="249"/>
      <c r="H39" s="167" t="s">
        <v>116</v>
      </c>
      <c r="I39" s="88"/>
      <c r="J39" s="194"/>
      <c r="L39" s="209"/>
    </row>
    <row r="40" spans="1:12" ht="15" customHeight="1">
      <c r="A40" s="33" t="s">
        <v>55</v>
      </c>
      <c r="B40" s="157">
        <v>65</v>
      </c>
      <c r="C40" s="66"/>
      <c r="D40" s="71"/>
      <c r="E40" s="244">
        <v>24</v>
      </c>
      <c r="F40" s="244"/>
      <c r="G40" s="244">
        <v>180</v>
      </c>
      <c r="H40" s="244"/>
      <c r="I40" s="46">
        <f>B40*C40*E40*G40/1000</f>
        <v>0</v>
      </c>
      <c r="J40" s="195">
        <f t="shared" si="2"/>
        <v>0</v>
      </c>
      <c r="L40" s="209">
        <f t="shared" si="0"/>
        <v>0</v>
      </c>
    </row>
    <row r="41" spans="1:12" ht="15" customHeight="1">
      <c r="A41" s="34" t="s">
        <v>56</v>
      </c>
      <c r="B41" s="155">
        <v>25</v>
      </c>
      <c r="C41" s="61">
        <v>0</v>
      </c>
      <c r="D41" s="63"/>
      <c r="E41" s="250">
        <v>24</v>
      </c>
      <c r="F41" s="250"/>
      <c r="G41" s="250">
        <v>365</v>
      </c>
      <c r="H41" s="250"/>
      <c r="I41" s="46">
        <f>B41*C41*E41*G41/1000</f>
        <v>0</v>
      </c>
      <c r="J41" s="195">
        <f t="shared" si="2"/>
        <v>0</v>
      </c>
      <c r="L41" s="209">
        <f t="shared" si="0"/>
        <v>0</v>
      </c>
    </row>
    <row r="42" spans="1:13" ht="15" customHeight="1">
      <c r="A42" s="35" t="s">
        <v>141</v>
      </c>
      <c r="B42" s="156"/>
      <c r="C42" s="64"/>
      <c r="D42" s="72"/>
      <c r="E42" s="251"/>
      <c r="F42" s="251"/>
      <c r="G42" s="251"/>
      <c r="H42" s="251"/>
      <c r="I42" s="49">
        <f>B42*C42*E42*G42/1000</f>
        <v>0</v>
      </c>
      <c r="J42" s="196">
        <f t="shared" si="2"/>
        <v>0</v>
      </c>
      <c r="L42" s="209">
        <f t="shared" si="0"/>
        <v>0</v>
      </c>
      <c r="M42" s="210">
        <f>SUM(I40:I42)</f>
        <v>0</v>
      </c>
    </row>
    <row r="43" spans="7:12" ht="21.75" customHeight="1">
      <c r="G43" s="85" t="s">
        <v>33</v>
      </c>
      <c r="H43" s="86"/>
      <c r="I43" s="87">
        <f>SUM(I5:I42)</f>
        <v>3333.9500000000003</v>
      </c>
      <c r="J43" s="197">
        <f>PELEC*I43</f>
        <v>466.7530000000001</v>
      </c>
      <c r="K43" s="26"/>
      <c r="L43" s="209">
        <f>SUM(L5:L42)</f>
        <v>0.9999999999999998</v>
      </c>
    </row>
    <row r="45" ht="12.75">
      <c r="I45" s="26"/>
    </row>
    <row r="47" ht="12.75">
      <c r="H47" s="26"/>
    </row>
  </sheetData>
  <mergeCells count="41">
    <mergeCell ref="E40:F40"/>
    <mergeCell ref="E41:F41"/>
    <mergeCell ref="E42:F42"/>
    <mergeCell ref="G40:H40"/>
    <mergeCell ref="G41:H41"/>
    <mergeCell ref="G42:H42"/>
    <mergeCell ref="E28:F28"/>
    <mergeCell ref="E34:F34"/>
    <mergeCell ref="E35:F35"/>
    <mergeCell ref="E36:F36"/>
    <mergeCell ref="E38:F38"/>
    <mergeCell ref="E37:F37"/>
    <mergeCell ref="E29:F29"/>
    <mergeCell ref="E30:F30"/>
    <mergeCell ref="E32:F32"/>
    <mergeCell ref="C39:D39"/>
    <mergeCell ref="E39:G39"/>
    <mergeCell ref="C18:D18"/>
    <mergeCell ref="C24:D24"/>
    <mergeCell ref="C33:D33"/>
    <mergeCell ref="E33:G33"/>
    <mergeCell ref="E31:F31"/>
    <mergeCell ref="E25:F25"/>
    <mergeCell ref="E26:F26"/>
    <mergeCell ref="E27:F27"/>
    <mergeCell ref="E15:F15"/>
    <mergeCell ref="E17:F17"/>
    <mergeCell ref="E21:F21"/>
    <mergeCell ref="E23:F23"/>
    <mergeCell ref="E16:F16"/>
    <mergeCell ref="E24:G24"/>
    <mergeCell ref="E18:G18"/>
    <mergeCell ref="E19:F19"/>
    <mergeCell ref="E20:F20"/>
    <mergeCell ref="E22:F22"/>
    <mergeCell ref="B3:G3"/>
    <mergeCell ref="C11:D11"/>
    <mergeCell ref="E11:F11"/>
    <mergeCell ref="E12:F12"/>
    <mergeCell ref="E13:F13"/>
    <mergeCell ref="E14:F14"/>
  </mergeCells>
  <printOptions/>
  <pageMargins left="0.75" right="0.75" top="1" bottom="1" header="0.4921259845" footer="0.4921259845"/>
  <pageSetup fitToHeight="1" fitToWidth="1" orientation="portrait" paperSize="9" scale="8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13"/>
  <sheetViews>
    <sheetView workbookViewId="0" topLeftCell="A1">
      <selection activeCell="D17" sqref="D17"/>
    </sheetView>
  </sheetViews>
  <sheetFormatPr defaultColWidth="11.00390625" defaultRowHeight="12"/>
  <sheetData>
    <row r="8" ht="12.75">
      <c r="A8" t="s">
        <v>2</v>
      </c>
    </row>
    <row r="9" ht="12.75">
      <c r="A9" t="s">
        <v>10</v>
      </c>
    </row>
    <row r="10" ht="12.75">
      <c r="B10" t="s">
        <v>4</v>
      </c>
    </row>
    <row r="11" spans="1:2" ht="12.75">
      <c r="A11" t="s">
        <v>3</v>
      </c>
      <c r="B11" t="s">
        <v>7</v>
      </c>
    </row>
    <row r="12" spans="1:2" ht="12.75">
      <c r="A12" t="s">
        <v>5</v>
      </c>
      <c r="B12" t="s">
        <v>8</v>
      </c>
    </row>
    <row r="13" spans="1:2" ht="12.75">
      <c r="A13" t="s">
        <v>6</v>
      </c>
      <c r="B13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sans-titre</dc:title>
  <dc:subject/>
  <dc:creator/>
  <cp:keywords/>
  <dc:description/>
  <cp:lastModifiedBy>Franck Dimitropoulos</cp:lastModifiedBy>
  <cp:lastPrinted>2009-02-06T09:26:36Z</cp:lastPrinted>
  <dcterms:created xsi:type="dcterms:W3CDTF">2005-02-22T11:39:42Z</dcterms:created>
  <dcterms:modified xsi:type="dcterms:W3CDTF">2009-06-11T12:54:47Z</dcterms:modified>
  <cp:category/>
  <cp:version/>
  <cp:contentType/>
  <cp:contentStatus/>
</cp:coreProperties>
</file>