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20" yWindow="40" windowWidth="19040" windowHeight="12460" tabRatio="568" activeTab="0"/>
  </bookViews>
  <sheets>
    <sheet name="Besoins" sheetId="1" r:id="rId1"/>
    <sheet name="Bûches" sheetId="2" r:id="rId2"/>
    <sheet name="Granulés" sheetId="3" r:id="rId3"/>
    <sheet name="Plaquettes" sheetId="4" r:id="rId4"/>
    <sheet name="Comparaisons" sheetId="5" r:id="rId5"/>
    <sheet name="Crédit d'impôt" sheetId="6" r:id="rId6"/>
    <sheet name="évaluation conso" sheetId="7" r:id="rId7"/>
  </sheets>
  <definedNames>
    <definedName name="_xlnm.Print_Area" localSheetId="5">'Crédit d''impôt'!$A$1:$G$29</definedName>
  </definedNames>
  <calcPr fullCalcOnLoad="1"/>
</workbook>
</file>

<file path=xl/comments5.xml><?xml version="1.0" encoding="utf-8"?>
<comments xmlns="http://schemas.openxmlformats.org/spreadsheetml/2006/main">
  <authors>
    <author>Franck DIMITROPOULOS</author>
  </authors>
  <commentList>
    <comment ref="F21" authorId="0">
      <text>
        <r>
          <rPr>
            <b/>
            <sz val="9"/>
            <rFont val="Verdana"/>
            <family val="0"/>
          </rPr>
          <t>Inscrivez le montant de la taxe par tonne de carbonne.</t>
        </r>
        <r>
          <rPr>
            <sz val="9"/>
            <rFont val="Verdana"/>
            <family val="0"/>
          </rPr>
          <t xml:space="preserve">
</t>
        </r>
      </text>
    </comment>
    <comment ref="F19" authorId="0">
      <text>
        <r>
          <rPr>
            <b/>
            <sz val="9"/>
            <rFont val="Verdana"/>
            <family val="0"/>
          </rPr>
          <t>Le rapport entre le carbone et le CO2 est de 12/44</t>
        </r>
        <r>
          <rPr>
            <sz val="9"/>
            <rFont val="Verdan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Franck DIMITROPOULOS</author>
  </authors>
  <commentList>
    <comment ref="D9" authorId="0">
      <text>
        <r>
          <rPr>
            <b/>
            <sz val="9"/>
            <rFont val="Verdana"/>
            <family val="0"/>
          </rPr>
          <t xml:space="preserve">équipements éligibles TTC
</t>
        </r>
        <r>
          <rPr>
            <sz val="9"/>
            <rFont val="Verdana"/>
            <family val="0"/>
          </rPr>
          <t xml:space="preserve">
</t>
        </r>
      </text>
    </comment>
    <comment ref="D14" authorId="0">
      <text>
        <r>
          <rPr>
            <b/>
            <sz val="9"/>
            <rFont val="Verdana"/>
            <family val="0"/>
          </rPr>
          <t>Subvention sur le total HT</t>
        </r>
        <r>
          <rPr>
            <sz val="9"/>
            <rFont val="Verdana"/>
            <family val="0"/>
          </rPr>
          <t xml:space="preserve">
</t>
        </r>
      </text>
    </comment>
    <comment ref="B15" authorId="0">
      <text>
        <r>
          <rPr>
            <b/>
            <sz val="9"/>
            <rFont val="Verdana"/>
            <family val="0"/>
          </rPr>
          <t>Certaines subventions sont octroyées sur la main d'œuvre pour ne pas être déduites du calcul du crédit d'impôt. Voir avec le subventionneur.</t>
        </r>
        <r>
          <rPr>
            <sz val="9"/>
            <rFont val="Verdana"/>
            <family val="0"/>
          </rPr>
          <t xml:space="preserve">
</t>
        </r>
      </text>
    </comment>
    <comment ref="D21" authorId="0">
      <text>
        <r>
          <rPr>
            <b/>
            <sz val="9"/>
            <rFont val="Verdana"/>
            <family val="0"/>
          </rPr>
          <t>Si la subvention "Main d'Oeuvre" dépasse la montant TTC de la MO, l'exédent est intégré aux subventions générales, case du dessous.</t>
        </r>
        <r>
          <rPr>
            <sz val="9"/>
            <rFont val="Verdana"/>
            <family val="0"/>
          </rPr>
          <t xml:space="preserve">
</t>
        </r>
      </text>
    </comment>
    <comment ref="D24" authorId="0">
      <text>
        <r>
          <rPr>
            <b/>
            <sz val="9"/>
            <rFont val="Verdana"/>
            <family val="0"/>
          </rPr>
          <t>C'est le montant éligible TTC amputé de la part de subvention attribué aux équipements.</t>
        </r>
        <r>
          <rPr>
            <sz val="9"/>
            <rFont val="Verdana"/>
            <family val="0"/>
          </rPr>
          <t xml:space="preserve">
</t>
        </r>
      </text>
    </comment>
    <comment ref="E1" authorId="0">
      <text>
        <r>
          <rPr>
            <b/>
            <sz val="9"/>
            <rFont val="Verdana"/>
            <family val="0"/>
          </rPr>
          <t>Attention quelques calculs se cachent dans la colonne E.</t>
        </r>
        <r>
          <rPr>
            <sz val="9"/>
            <rFont val="Verdan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<sst xmlns="http://schemas.openxmlformats.org/spreadsheetml/2006/main" count="300" uniqueCount="195">
  <si>
    <t>Calcul du crédit d'impôt</t>
  </si>
  <si>
    <t>Subvention ANAH</t>
  </si>
  <si>
    <t>Prime ANAH</t>
  </si>
  <si>
    <t>Taux :</t>
  </si>
  <si>
    <t>Montant :</t>
  </si>
  <si>
    <t>Total ANAH :</t>
  </si>
  <si>
    <t>Equipements non éligibles au CI HT</t>
  </si>
  <si>
    <t>Total HT :</t>
  </si>
  <si>
    <t>Subventions</t>
  </si>
  <si>
    <t>Autres subventions</t>
  </si>
  <si>
    <t>Facture</t>
  </si>
  <si>
    <t>Total Autres :</t>
  </si>
  <si>
    <t>Subventions sur l'ensemble :</t>
  </si>
  <si>
    <t>Dont subventions sur la main d'œuvre :</t>
  </si>
  <si>
    <t>Donnée variable en fonction de la coupe du bois, valeur par défaut : 1</t>
  </si>
  <si>
    <t>Donnée variable en fonction de l'essence ou de l'humidité, valeur par défaut : 4600 kWh</t>
  </si>
  <si>
    <t>Consommation bois :</t>
  </si>
  <si>
    <t>Les feuilles sont protégées par sécurité, il n'y a pas de mot de passe.</t>
  </si>
  <si>
    <t>Mettez à jour les prix de l'énergie selon l'offre locale, pour mémoire les contenus énergétique sont indiqués dans la feuille "Besoins".</t>
  </si>
  <si>
    <t>Granulés</t>
  </si>
  <si>
    <t>Plaquettes</t>
  </si>
  <si>
    <t>Le rendement saisonnier est inférieur de 5 à 15 % du rendement de l'appareil, par défaut - 5 %</t>
  </si>
  <si>
    <t>Sept</t>
  </si>
  <si>
    <t>Oct</t>
  </si>
  <si>
    <t>Nov</t>
  </si>
  <si>
    <t>Déc</t>
  </si>
  <si>
    <t>Jan</t>
  </si>
  <si>
    <t>Fév</t>
  </si>
  <si>
    <t>Comparaison :</t>
  </si>
  <si>
    <t>Mars</t>
  </si>
  <si>
    <t>Avr</t>
  </si>
  <si>
    <t>Mai</t>
  </si>
  <si>
    <t>Juin</t>
  </si>
  <si>
    <t>kWh/unité :</t>
  </si>
  <si>
    <t>Part mensuelle</t>
  </si>
  <si>
    <t>Cumul</t>
  </si>
  <si>
    <t>En kWh</t>
  </si>
  <si>
    <t>Unité commerciale</t>
  </si>
  <si>
    <t>Volume</t>
  </si>
  <si>
    <r>
      <t>M</t>
    </r>
    <r>
      <rPr>
        <vertAlign val="superscript"/>
        <sz val="12"/>
        <rFont val="Times"/>
        <family val="0"/>
      </rPr>
      <t>3</t>
    </r>
    <r>
      <rPr>
        <sz val="12"/>
        <rFont val="Times"/>
        <family val="0"/>
      </rPr>
      <t xml:space="preserve"> par unité</t>
    </r>
  </si>
  <si>
    <t xml:space="preserve">Rendement saisonnier : </t>
  </si>
  <si>
    <r>
      <t>gr CO</t>
    </r>
    <r>
      <rPr>
        <vertAlign val="superscript"/>
        <sz val="10"/>
        <rFont val="Times"/>
        <family val="0"/>
      </rPr>
      <t>2</t>
    </r>
    <r>
      <rPr>
        <sz val="10"/>
        <rFont val="Times"/>
        <family val="0"/>
      </rPr>
      <t>/kWh</t>
    </r>
  </si>
  <si>
    <t>Entretien annuel :</t>
  </si>
  <si>
    <t>Si vous ne connaissez pas le coût de l'entretien laissez les cases à 0.</t>
  </si>
  <si>
    <t>Indiquez le différentiel d'investissement entre les deux solutions, signe - si négatif.</t>
  </si>
  <si>
    <r>
      <t>Calcul de l'éventuelle taxe sur les émissions de CO</t>
    </r>
    <r>
      <rPr>
        <vertAlign val="superscript"/>
        <sz val="10"/>
        <rFont val="Times"/>
        <family val="0"/>
      </rPr>
      <t>2</t>
    </r>
    <r>
      <rPr>
        <sz val="10"/>
        <rFont val="Times"/>
        <family val="0"/>
      </rPr>
      <t>, n'est pas intégrée dans le calcul final.</t>
    </r>
  </si>
  <si>
    <r>
      <t>petit (+/- 50 m</t>
    </r>
    <r>
      <rPr>
        <b/>
        <vertAlign val="superscript"/>
        <sz val="10"/>
        <rFont val="Times"/>
        <family val="0"/>
      </rPr>
      <t>2</t>
    </r>
    <r>
      <rPr>
        <b/>
        <sz val="10"/>
        <rFont val="Times"/>
        <family val="0"/>
      </rPr>
      <t>)</t>
    </r>
  </si>
  <si>
    <t>Coût annuel</t>
  </si>
  <si>
    <t>Prix kWh :</t>
  </si>
  <si>
    <t>L'étiquette énergie, attention d'utiliser la valeur en énergie finale.</t>
  </si>
  <si>
    <t>La RT 2005 :</t>
  </si>
  <si>
    <t>Consommation maximale.</t>
  </si>
  <si>
    <t>Type d'énergie</t>
  </si>
  <si>
    <t>Fossile</t>
  </si>
  <si>
    <t>Electricité</t>
  </si>
  <si>
    <t>H1</t>
  </si>
  <si>
    <t>H2</t>
  </si>
  <si>
    <t>H3</t>
  </si>
  <si>
    <t>Pour être exact il faut diminuer ces consommations du rendement des appareils en place. Voir les exemples de rendement sur la feuille comparaison.</t>
  </si>
  <si>
    <t>Déterminez le besoin de chauffage annuel en kWh :</t>
  </si>
  <si>
    <t>kWh</t>
  </si>
  <si>
    <r>
      <t>kWh/m</t>
    </r>
    <r>
      <rPr>
        <vertAlign val="superscript"/>
        <sz val="12"/>
        <rFont val="Times"/>
        <family val="0"/>
      </rPr>
      <t>2</t>
    </r>
    <r>
      <rPr>
        <sz val="12"/>
        <rFont val="Times"/>
        <family val="0"/>
      </rPr>
      <t>/an</t>
    </r>
  </si>
  <si>
    <t>Consommation maximale (énergie primaire) :</t>
  </si>
  <si>
    <t>Cet outil n'a pas vocation a calculer la consommation d'un logement, mais a l'évaluer, la marge d'erreur peut être importante.</t>
  </si>
  <si>
    <t>Type climat</t>
  </si>
  <si>
    <t>Type logement</t>
  </si>
  <si>
    <t>Compacité</t>
  </si>
  <si>
    <t>Volume (hauteur plafond)</t>
  </si>
  <si>
    <t>Altitude</t>
  </si>
  <si>
    <t>Isolation murs</t>
  </si>
  <si>
    <t>Isolation plafond</t>
  </si>
  <si>
    <t>Isolation sol</t>
  </si>
  <si>
    <t>Renouvellement d'air</t>
  </si>
  <si>
    <t>Evaluation par mètre carré :</t>
  </si>
  <si>
    <t>Surface :</t>
  </si>
  <si>
    <t>Besoin total annuel :</t>
  </si>
  <si>
    <t>Le rendement saisonnier est inférieur de 5 à 15 % du rendement de l'appareil, par défaut - 10 %</t>
  </si>
  <si>
    <t>Bûches</t>
  </si>
  <si>
    <t>Part bois</t>
  </si>
  <si>
    <t>Economie réalisable hors inflation.</t>
  </si>
  <si>
    <t>+ de 400 m</t>
  </si>
  <si>
    <t>4 cm</t>
  </si>
  <si>
    <t>10 cm</t>
  </si>
  <si>
    <t>oui</t>
  </si>
  <si>
    <t>Controlé</t>
  </si>
  <si>
    <t>L'outil proposé sur la feuille "évaluation" de ce classeur.</t>
  </si>
  <si>
    <t>Remplissez ensuite les autres feuilles, seule les cellules à fond vert sont modifiables.</t>
  </si>
  <si>
    <t>Donnée variable en fonction de l'essence ou de l'humidité, valeur par défaut : 3500</t>
  </si>
  <si>
    <t>Donnée peu variable, valeur par défaut : 1,42</t>
  </si>
  <si>
    <t>Donnée variable en fonction de l'essence ou de l'humidité, valeur par défaut : 4</t>
  </si>
  <si>
    <t>Récapitulatifs bois.</t>
  </si>
  <si>
    <t>Energies de comparaison.</t>
  </si>
  <si>
    <t>Energie :</t>
  </si>
  <si>
    <t>Choisissez les énergies à comparer en cliquant dessus.</t>
  </si>
  <si>
    <t>Approximation pour une température de 19° dans toute la maison.</t>
  </si>
  <si>
    <t>Froid (zone H1)</t>
  </si>
  <si>
    <t>1 niveau</t>
  </si>
  <si>
    <t>Normal (+/- 2,50m)</t>
  </si>
  <si>
    <t>- de 400 m</t>
  </si>
  <si>
    <t>non</t>
  </si>
  <si>
    <t>Naturel</t>
  </si>
  <si>
    <t>Indiquez la durée de vie supposée de l'installation.</t>
  </si>
  <si>
    <t>Modifiez éventuellement les rendements saisonniers.</t>
  </si>
  <si>
    <t>grand (+/- 150 m2)</t>
  </si>
  <si>
    <t>clément (zone H3)</t>
  </si>
  <si>
    <t>Plafonds haut (+/- 3,00m)</t>
  </si>
  <si>
    <t>8 cm</t>
  </si>
  <si>
    <t>20 cm</t>
  </si>
  <si>
    <t>Terre plein</t>
  </si>
  <si>
    <t>Fort (défaut)</t>
  </si>
  <si>
    <t>15 cm</t>
  </si>
  <si>
    <t>30 cm</t>
  </si>
  <si>
    <t>Double flux</t>
  </si>
  <si>
    <t>Investissement :</t>
  </si>
  <si>
    <t>moyen (+/- 100 m2)</t>
  </si>
  <si>
    <t>modéré (zone H2)</t>
  </si>
  <si>
    <t>2 niveaux</t>
  </si>
  <si>
    <t>Plafonds bas (+/- 2,20m)</t>
  </si>
  <si>
    <t>Émission de gaz à effet de serre :</t>
  </si>
  <si>
    <t>Solution bois</t>
  </si>
  <si>
    <t>Solution autre</t>
  </si>
  <si>
    <t>CO2 évité :</t>
  </si>
  <si>
    <t>Si taxe carbone :</t>
  </si>
  <si>
    <t>Main d'œuvre HT</t>
  </si>
  <si>
    <t>Total TTC</t>
  </si>
  <si>
    <t>Taux de TVA</t>
  </si>
  <si>
    <t>Subvention 1</t>
  </si>
  <si>
    <t>Subvention 2</t>
  </si>
  <si>
    <t>Subvention 3</t>
  </si>
  <si>
    <t>Equipements éligibles HT</t>
  </si>
  <si>
    <t>Economie annuelle :</t>
  </si>
  <si>
    <t>Economie moyenne :</t>
  </si>
  <si>
    <t>Pèriode de référence :</t>
  </si>
  <si>
    <t xml:space="preserve">Bûche </t>
  </si>
  <si>
    <t xml:space="preserve">Granulé </t>
  </si>
  <si>
    <t xml:space="preserve">Plaquette </t>
  </si>
  <si>
    <t xml:space="preserve">Fioul </t>
  </si>
  <si>
    <t xml:space="preserve">Propane </t>
  </si>
  <si>
    <t xml:space="preserve">Gaz de ville </t>
  </si>
  <si>
    <t xml:space="preserve">Electricité </t>
  </si>
  <si>
    <t>Différence sur la pèriode :</t>
  </si>
  <si>
    <t>Volume/unité :</t>
  </si>
  <si>
    <t>Besoin chauffage :</t>
  </si>
  <si>
    <t>Part bois :</t>
  </si>
  <si>
    <t>Part autre :</t>
  </si>
  <si>
    <t>En kWh :</t>
  </si>
  <si>
    <t>Unité commerciale :</t>
  </si>
  <si>
    <t>Volume :</t>
  </si>
  <si>
    <t>Coûts</t>
  </si>
  <si>
    <t>Répartition de la consommation annuelle, moyenne nationale.</t>
  </si>
  <si>
    <t>Donnée issue de la feuille "Besoins".</t>
  </si>
  <si>
    <t>Si le bois est utilisé en complément, indiquez sa part.</t>
  </si>
  <si>
    <t>Coûts bois</t>
  </si>
  <si>
    <t>Coûts autre énergie</t>
  </si>
  <si>
    <t>Rendement :</t>
  </si>
  <si>
    <t>Choix seconde énergie :</t>
  </si>
  <si>
    <t>Coût total :</t>
  </si>
  <si>
    <t>Répartition de la consommation annuelle de bois, moyenne nationale.</t>
  </si>
  <si>
    <t>Coût bois</t>
  </si>
  <si>
    <t>Coût autre</t>
  </si>
  <si>
    <t>Coût total</t>
  </si>
  <si>
    <t>Besoins bois</t>
  </si>
  <si>
    <t>Donnée variable en fonction de l'essence ou de l'humidité, valeur par défaut : 1600 kWh</t>
  </si>
  <si>
    <t>Plafond travaux ANAH</t>
  </si>
  <si>
    <t>Dépense TTC éligible au crédit d'impôt :</t>
  </si>
  <si>
    <t>Fraction de subvention à minorer :</t>
  </si>
  <si>
    <t>Plafond du crédit d'impôt :</t>
  </si>
  <si>
    <t>Montant éligible au crédit d'impôt :</t>
  </si>
  <si>
    <t>Taux du crédit d'impôt :</t>
  </si>
  <si>
    <t>Montant du crédit d'impôt :</t>
  </si>
  <si>
    <t>Coût final de l'installation :</t>
  </si>
  <si>
    <t>Crédit d'impôt</t>
  </si>
  <si>
    <t>Voir instruction fiscale 5 B-17-07 n° 88 du 11 juillet 2007</t>
  </si>
  <si>
    <t>http://doc.impots.gouv.fr/aida2007/Apw.fcgi?FILE=Index.html</t>
  </si>
  <si>
    <t>http://www.anah.fr/reglementation/guide-conditions-attribution/page-regl-guid.htm</t>
  </si>
  <si>
    <t>Voir guide des subventions ANAH</t>
  </si>
  <si>
    <t>Information non contractuelle, a vérifier auprès de votre service des impôts.</t>
  </si>
  <si>
    <t>Version d'évaluation, envoyez vos remarques à : b-c-e@orange.fr</t>
  </si>
  <si>
    <t>Un des outils accompagnant ce classeur.</t>
  </si>
  <si>
    <t>stère</t>
  </si>
  <si>
    <t>tonne</t>
  </si>
  <si>
    <t>Coût annuel :</t>
  </si>
  <si>
    <t>Prix unité :</t>
  </si>
  <si>
    <t>Combustible :</t>
  </si>
  <si>
    <t>Rend. saison.</t>
  </si>
  <si>
    <t>Prix kWh</t>
  </si>
  <si>
    <t>besoins</t>
  </si>
  <si>
    <t>Pour ramener la consommation d'électricité en énergie finale, divisez par 2,58</t>
  </si>
  <si>
    <t>Zone</t>
  </si>
  <si>
    <t>Les consommations antérieures, selon l'énergie utilisée :</t>
  </si>
  <si>
    <t>Fioul = 10 kWh par litre</t>
  </si>
  <si>
    <t>Propane = 12,88 kWh par kg</t>
  </si>
  <si>
    <t>Gaz de ville 1 kWh pcs = 0,9 kWh pci</t>
  </si>
  <si>
    <t>Pour vous aider vous pouvez utiliser :</t>
  </si>
  <si>
    <t>Un diagnostic thermique de bureau d'étude.</t>
  </si>
</sst>
</file>

<file path=xl/styles.xml><?xml version="1.0" encoding="utf-8"?>
<styleSheet xmlns="http://schemas.openxmlformats.org/spreadsheetml/2006/main">
  <numFmts count="4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&quot; kWh&quot;"/>
    <numFmt numFmtId="165" formatCode="#&quot; m2&quot;"/>
    <numFmt numFmtId="166" formatCode="#&quot;kWh&quot;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&quot; stere&quot;"/>
    <numFmt numFmtId="176" formatCode="#&quot; m3&quot;"/>
    <numFmt numFmtId="177" formatCode="#.0&quot; m3&quot;"/>
    <numFmt numFmtId="178" formatCode="#.0&quot; stere&quot;"/>
    <numFmt numFmtId="179" formatCode="0.0&quot; stere&quot;"/>
    <numFmt numFmtId="180" formatCode="0.0&quot; m3&quot;"/>
    <numFmt numFmtId="181" formatCode="0&quot; stere&quot;"/>
    <numFmt numFmtId="182" formatCode="0&quot; m3&quot;"/>
    <numFmt numFmtId="183" formatCode="0&quot; tonne&quot;"/>
    <numFmt numFmtId="184" formatCode="0.00&quot; tonne&quot;"/>
    <numFmt numFmtId="185" formatCode="#,##0.00&quot; €&quot;"/>
    <numFmt numFmtId="186" formatCode="#,##0.00&quot; €&quot;;[Red]#,##0.00&quot; €&quot;"/>
    <numFmt numFmtId="187" formatCode="0.0%"/>
    <numFmt numFmtId="188" formatCode="#,##0.000&quot; €&quot;;[Red]#,##0.000&quot; €&quot;"/>
    <numFmt numFmtId="189" formatCode="#,##0.0&quot; €&quot;;[Red]#,##0.0&quot; €&quot;"/>
    <numFmt numFmtId="190" formatCode="#,##0&quot; €&quot;;[Red]#,##0&quot; €&quot;"/>
    <numFmt numFmtId="191" formatCode="#,##0.000&quot; €&quot;"/>
    <numFmt numFmtId="192" formatCode="#,##0.0000&quot; €&quot;;[Red]#,##0.0000&quot; €&quot;"/>
    <numFmt numFmtId="193" formatCode="0&quot; ans&quot;"/>
    <numFmt numFmtId="194" formatCode="#,##0.00000&quot; €&quot;;[Red]#,##0.00000&quot; €&quot;"/>
    <numFmt numFmtId="195" formatCode="0&quot; gr&quot;"/>
    <numFmt numFmtId="196" formatCode="0&quot; kg CO2/an&quot;"/>
    <numFmt numFmtId="197" formatCode="0.0&quot; kg CO2/an&quot;"/>
    <numFmt numFmtId="198" formatCode="0.00&quot; kg CO2/an&quot;"/>
    <numFmt numFmtId="199" formatCode="0&quot; kg C/an&quot;"/>
    <numFmt numFmtId="200" formatCode="#,##0.000000&quot; €&quot;;[Red]#,##0.000000&quot; €&quot;"/>
    <numFmt numFmtId="201" formatCode="0&quot; €/tonne/C&quot;"/>
    <numFmt numFmtId="202" formatCode="#,##0.00\ &quot;€&quot;"/>
    <numFmt numFmtId="203" formatCode="#,##0.00\ [$F-40C]"/>
    <numFmt numFmtId="204" formatCode="0.000%"/>
  </numFmts>
  <fonts count="3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name val="Times"/>
      <family val="0"/>
    </font>
    <font>
      <b/>
      <sz val="14"/>
      <name val="Times"/>
      <family val="0"/>
    </font>
    <font>
      <b/>
      <sz val="12"/>
      <name val="Times"/>
      <family val="0"/>
    </font>
    <font>
      <vertAlign val="superscript"/>
      <sz val="12"/>
      <name val="Times"/>
      <family val="0"/>
    </font>
    <font>
      <sz val="10"/>
      <name val="Geneva"/>
      <family val="0"/>
    </font>
    <font>
      <sz val="12"/>
      <name val="Verdana"/>
      <family val="0"/>
    </font>
    <font>
      <b/>
      <sz val="14"/>
      <color indexed="10"/>
      <name val="Times"/>
      <family val="0"/>
    </font>
    <font>
      <sz val="9"/>
      <name val="Verdana"/>
      <family val="0"/>
    </font>
    <font>
      <b/>
      <sz val="9"/>
      <name val="Verdana"/>
      <family val="0"/>
    </font>
    <font>
      <b/>
      <sz val="16"/>
      <name val="Times"/>
      <family val="0"/>
    </font>
    <font>
      <sz val="10"/>
      <name val="Times"/>
      <family val="0"/>
    </font>
    <font>
      <vertAlign val="superscript"/>
      <sz val="10"/>
      <name val="Times"/>
      <family val="0"/>
    </font>
    <font>
      <b/>
      <sz val="10"/>
      <name val="Times"/>
      <family val="0"/>
    </font>
    <font>
      <b/>
      <i/>
      <sz val="12"/>
      <color indexed="10"/>
      <name val="Times"/>
      <family val="0"/>
    </font>
    <font>
      <sz val="10"/>
      <color indexed="10"/>
      <name val="Times"/>
      <family val="0"/>
    </font>
    <font>
      <b/>
      <sz val="12"/>
      <color indexed="10"/>
      <name val="Times"/>
      <family val="0"/>
    </font>
    <font>
      <sz val="14"/>
      <name val="Times"/>
      <family val="0"/>
    </font>
    <font>
      <b/>
      <sz val="14"/>
      <color indexed="12"/>
      <name val="Times"/>
      <family val="0"/>
    </font>
    <font>
      <sz val="14"/>
      <color indexed="12"/>
      <name val="Times"/>
      <family val="0"/>
    </font>
    <font>
      <b/>
      <vertAlign val="superscript"/>
      <sz val="10"/>
      <name val="Times"/>
      <family val="0"/>
    </font>
    <font>
      <sz val="14"/>
      <color indexed="10"/>
      <name val="Times"/>
      <family val="0"/>
    </font>
    <font>
      <i/>
      <sz val="12"/>
      <name val="Times"/>
      <family val="0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/>
    </xf>
    <xf numFmtId="0" fontId="7" fillId="2" borderId="15" xfId="0" applyFont="1" applyFill="1" applyBorder="1" applyAlignment="1">
      <alignment horizontal="right"/>
    </xf>
    <xf numFmtId="0" fontId="7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/>
    </xf>
    <xf numFmtId="0" fontId="17" fillId="2" borderId="16" xfId="0" applyFont="1" applyFill="1" applyBorder="1" applyAlignment="1">
      <alignment/>
    </xf>
    <xf numFmtId="0" fontId="17" fillId="2" borderId="17" xfId="0" applyFont="1" applyFill="1" applyBorder="1" applyAlignment="1">
      <alignment/>
    </xf>
    <xf numFmtId="0" fontId="7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19" xfId="0" applyFont="1" applyFill="1" applyBorder="1" applyAlignment="1">
      <alignment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>
      <alignment horizontal="right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>
      <alignment/>
    </xf>
    <xf numFmtId="0" fontId="17" fillId="2" borderId="21" xfId="0" applyFont="1" applyFill="1" applyBorder="1" applyAlignment="1">
      <alignment/>
    </xf>
    <xf numFmtId="0" fontId="17" fillId="2" borderId="22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9" fontId="7" fillId="3" borderId="16" xfId="0" applyNumberFormat="1" applyFont="1" applyFill="1" applyBorder="1" applyAlignment="1" applyProtection="1">
      <alignment horizontal="center"/>
      <protection locked="0"/>
    </xf>
    <xf numFmtId="9" fontId="7" fillId="2" borderId="21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right"/>
    </xf>
    <xf numFmtId="9" fontId="7" fillId="3" borderId="24" xfId="0" applyNumberFormat="1" applyFont="1" applyFill="1" applyBorder="1" applyAlignment="1" applyProtection="1">
      <alignment horizontal="center"/>
      <protection locked="0"/>
    </xf>
    <xf numFmtId="0" fontId="17" fillId="2" borderId="24" xfId="0" applyFont="1" applyFill="1" applyBorder="1" applyAlignment="1">
      <alignment/>
    </xf>
    <xf numFmtId="0" fontId="17" fillId="2" borderId="25" xfId="0" applyFont="1" applyFill="1" applyBorder="1" applyAlignment="1">
      <alignment/>
    </xf>
    <xf numFmtId="9" fontId="7" fillId="0" borderId="0" xfId="0" applyNumberFormat="1" applyFont="1" applyAlignment="1">
      <alignment horizontal="center"/>
    </xf>
    <xf numFmtId="0" fontId="17" fillId="0" borderId="0" xfId="0" applyFont="1" applyAlignment="1" applyProtection="1">
      <alignment/>
      <protection locked="0"/>
    </xf>
    <xf numFmtId="1" fontId="7" fillId="2" borderId="19" xfId="0" applyNumberFormat="1" applyFont="1" applyFill="1" applyBorder="1" applyAlignment="1">
      <alignment horizontal="center"/>
    </xf>
    <xf numFmtId="181" fontId="7" fillId="2" borderId="19" xfId="0" applyNumberFormat="1" applyFont="1" applyFill="1" applyBorder="1" applyAlignment="1">
      <alignment horizontal="center"/>
    </xf>
    <xf numFmtId="182" fontId="7" fillId="2" borderId="22" xfId="0" applyNumberFormat="1" applyFont="1" applyFill="1" applyBorder="1" applyAlignment="1">
      <alignment horizontal="center"/>
    </xf>
    <xf numFmtId="185" fontId="7" fillId="3" borderId="0" xfId="0" applyNumberFormat="1" applyFont="1" applyFill="1" applyBorder="1" applyAlignment="1" applyProtection="1">
      <alignment horizontal="center"/>
      <protection locked="0"/>
    </xf>
    <xf numFmtId="186" fontId="7" fillId="2" borderId="0" xfId="0" applyNumberFormat="1" applyFont="1" applyFill="1" applyBorder="1" applyAlignment="1">
      <alignment/>
    </xf>
    <xf numFmtId="191" fontId="7" fillId="2" borderId="0" xfId="0" applyNumberFormat="1" applyFont="1" applyFill="1" applyBorder="1" applyAlignment="1">
      <alignment horizontal="center"/>
    </xf>
    <xf numFmtId="9" fontId="7" fillId="2" borderId="0" xfId="0" applyNumberFormat="1" applyFont="1" applyFill="1" applyBorder="1" applyAlignment="1">
      <alignment/>
    </xf>
    <xf numFmtId="186" fontId="7" fillId="2" borderId="21" xfId="0" applyNumberFormat="1" applyFont="1" applyFill="1" applyBorder="1" applyAlignment="1">
      <alignment horizontal="center"/>
    </xf>
    <xf numFmtId="190" fontId="7" fillId="2" borderId="21" xfId="0" applyNumberFormat="1" applyFont="1" applyFill="1" applyBorder="1" applyAlignment="1">
      <alignment/>
    </xf>
    <xf numFmtId="186" fontId="7" fillId="0" borderId="0" xfId="0" applyNumberFormat="1" applyFont="1" applyAlignment="1">
      <alignment horizontal="center"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4" borderId="9" xfId="0" applyFont="1" applyFill="1" applyBorder="1" applyAlignment="1">
      <alignment horizontal="right"/>
    </xf>
    <xf numFmtId="10" fontId="17" fillId="4" borderId="10" xfId="0" applyNumberFormat="1" applyFont="1" applyFill="1" applyBorder="1" applyAlignment="1">
      <alignment horizontal="center"/>
    </xf>
    <xf numFmtId="10" fontId="17" fillId="4" borderId="29" xfId="0" applyNumberFormat="1" applyFont="1" applyFill="1" applyBorder="1" applyAlignment="1">
      <alignment horizontal="center"/>
    </xf>
    <xf numFmtId="10" fontId="17" fillId="0" borderId="0" xfId="0" applyNumberFormat="1" applyFont="1" applyAlignment="1">
      <alignment horizontal="center"/>
    </xf>
    <xf numFmtId="0" fontId="17" fillId="0" borderId="13" xfId="0" applyFont="1" applyBorder="1" applyAlignment="1">
      <alignment horizontal="right"/>
    </xf>
    <xf numFmtId="10" fontId="17" fillId="0" borderId="14" xfId="0" applyNumberFormat="1" applyFont="1" applyBorder="1" applyAlignment="1">
      <alignment horizontal="center"/>
    </xf>
    <xf numFmtId="10" fontId="17" fillId="0" borderId="30" xfId="0" applyNumberFormat="1" applyFont="1" applyBorder="1" applyAlignment="1">
      <alignment horizontal="center"/>
    </xf>
    <xf numFmtId="0" fontId="17" fillId="5" borderId="31" xfId="0" applyFont="1" applyFill="1" applyBorder="1" applyAlignment="1">
      <alignment horizontal="right"/>
    </xf>
    <xf numFmtId="0" fontId="17" fillId="5" borderId="32" xfId="0" applyFont="1" applyFill="1" applyBorder="1" applyAlignment="1">
      <alignment horizontal="center"/>
    </xf>
    <xf numFmtId="0" fontId="17" fillId="5" borderId="33" xfId="0" applyFont="1" applyFill="1" applyBorder="1" applyAlignment="1">
      <alignment horizontal="center"/>
    </xf>
    <xf numFmtId="164" fontId="17" fillId="4" borderId="10" xfId="0" applyNumberFormat="1" applyFont="1" applyFill="1" applyBorder="1" applyAlignment="1">
      <alignment horizontal="center"/>
    </xf>
    <xf numFmtId="164" fontId="17" fillId="4" borderId="29" xfId="0" applyNumberFormat="1" applyFont="1" applyFill="1" applyBorder="1" applyAlignment="1">
      <alignment horizontal="center"/>
    </xf>
    <xf numFmtId="164" fontId="17" fillId="0" borderId="14" xfId="0" applyNumberFormat="1" applyFont="1" applyBorder="1" applyAlignment="1">
      <alignment horizontal="center"/>
    </xf>
    <xf numFmtId="164" fontId="17" fillId="0" borderId="30" xfId="0" applyNumberFormat="1" applyFont="1" applyBorder="1" applyAlignment="1">
      <alignment horizontal="center"/>
    </xf>
    <xf numFmtId="164" fontId="17" fillId="5" borderId="32" xfId="0" applyNumberFormat="1" applyFont="1" applyFill="1" applyBorder="1" applyAlignment="1">
      <alignment horizontal="center"/>
    </xf>
    <xf numFmtId="164" fontId="17" fillId="5" borderId="33" xfId="0" applyNumberFormat="1" applyFont="1" applyFill="1" applyBorder="1" applyAlignment="1">
      <alignment horizontal="center"/>
    </xf>
    <xf numFmtId="179" fontId="17" fillId="4" borderId="10" xfId="0" applyNumberFormat="1" applyFont="1" applyFill="1" applyBorder="1" applyAlignment="1">
      <alignment horizontal="center"/>
    </xf>
    <xf numFmtId="179" fontId="17" fillId="4" borderId="29" xfId="0" applyNumberFormat="1" applyFont="1" applyFill="1" applyBorder="1" applyAlignment="1">
      <alignment horizontal="center"/>
    </xf>
    <xf numFmtId="179" fontId="17" fillId="0" borderId="14" xfId="0" applyNumberFormat="1" applyFont="1" applyBorder="1" applyAlignment="1">
      <alignment horizontal="center"/>
    </xf>
    <xf numFmtId="179" fontId="17" fillId="0" borderId="30" xfId="0" applyNumberFormat="1" applyFont="1" applyBorder="1" applyAlignment="1">
      <alignment horizontal="center"/>
    </xf>
    <xf numFmtId="179" fontId="17" fillId="5" borderId="32" xfId="0" applyNumberFormat="1" applyFont="1" applyFill="1" applyBorder="1" applyAlignment="1">
      <alignment horizontal="center"/>
    </xf>
    <xf numFmtId="179" fontId="17" fillId="5" borderId="33" xfId="0" applyNumberFormat="1" applyFont="1" applyFill="1" applyBorder="1" applyAlignment="1">
      <alignment horizontal="center"/>
    </xf>
    <xf numFmtId="180" fontId="17" fillId="4" borderId="10" xfId="0" applyNumberFormat="1" applyFont="1" applyFill="1" applyBorder="1" applyAlignment="1">
      <alignment horizontal="center"/>
    </xf>
    <xf numFmtId="180" fontId="17" fillId="4" borderId="29" xfId="0" applyNumberFormat="1" applyFont="1" applyFill="1" applyBorder="1" applyAlignment="1">
      <alignment horizontal="center"/>
    </xf>
    <xf numFmtId="180" fontId="17" fillId="0" borderId="14" xfId="0" applyNumberFormat="1" applyFont="1" applyBorder="1" applyAlignment="1">
      <alignment horizontal="center"/>
    </xf>
    <xf numFmtId="180" fontId="17" fillId="0" borderId="30" xfId="0" applyNumberFormat="1" applyFont="1" applyBorder="1" applyAlignment="1">
      <alignment horizontal="center"/>
    </xf>
    <xf numFmtId="164" fontId="7" fillId="3" borderId="0" xfId="0" applyNumberFormat="1" applyFont="1" applyFill="1" applyBorder="1" applyAlignment="1" applyProtection="1">
      <alignment horizontal="center"/>
      <protection locked="0"/>
    </xf>
    <xf numFmtId="180" fontId="7" fillId="3" borderId="21" xfId="0" applyNumberFormat="1" applyFont="1" applyFill="1" applyBorder="1" applyAlignment="1" applyProtection="1">
      <alignment horizontal="center"/>
      <protection locked="0"/>
    </xf>
    <xf numFmtId="183" fontId="7" fillId="2" borderId="19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/>
    </xf>
    <xf numFmtId="166" fontId="17" fillId="4" borderId="10" xfId="0" applyNumberFormat="1" applyFont="1" applyFill="1" applyBorder="1" applyAlignment="1">
      <alignment horizontal="center"/>
    </xf>
    <xf numFmtId="166" fontId="17" fillId="4" borderId="29" xfId="0" applyNumberFormat="1" applyFont="1" applyFill="1" applyBorder="1" applyAlignment="1">
      <alignment horizontal="center"/>
    </xf>
    <xf numFmtId="166" fontId="17" fillId="0" borderId="14" xfId="0" applyNumberFormat="1" applyFont="1" applyBorder="1" applyAlignment="1">
      <alignment horizontal="center"/>
    </xf>
    <xf numFmtId="166" fontId="17" fillId="0" borderId="30" xfId="0" applyNumberFormat="1" applyFont="1" applyBorder="1" applyAlignment="1">
      <alignment horizontal="center"/>
    </xf>
    <xf numFmtId="166" fontId="17" fillId="5" borderId="32" xfId="0" applyNumberFormat="1" applyFont="1" applyFill="1" applyBorder="1" applyAlignment="1">
      <alignment horizontal="center"/>
    </xf>
    <xf numFmtId="166" fontId="17" fillId="5" borderId="33" xfId="0" applyNumberFormat="1" applyFont="1" applyFill="1" applyBorder="1" applyAlignment="1">
      <alignment horizontal="center"/>
    </xf>
    <xf numFmtId="184" fontId="17" fillId="4" borderId="10" xfId="0" applyNumberFormat="1" applyFont="1" applyFill="1" applyBorder="1" applyAlignment="1">
      <alignment horizontal="center"/>
    </xf>
    <xf numFmtId="184" fontId="17" fillId="4" borderId="29" xfId="0" applyNumberFormat="1" applyFont="1" applyFill="1" applyBorder="1" applyAlignment="1">
      <alignment horizontal="center"/>
    </xf>
    <xf numFmtId="184" fontId="17" fillId="0" borderId="14" xfId="0" applyNumberFormat="1" applyFont="1" applyBorder="1" applyAlignment="1">
      <alignment horizontal="center"/>
    </xf>
    <xf numFmtId="184" fontId="17" fillId="0" borderId="30" xfId="0" applyNumberFormat="1" applyFont="1" applyBorder="1" applyAlignment="1">
      <alignment horizontal="center"/>
    </xf>
    <xf numFmtId="184" fontId="17" fillId="5" borderId="32" xfId="0" applyNumberFormat="1" applyFont="1" applyFill="1" applyBorder="1" applyAlignment="1">
      <alignment horizontal="center"/>
    </xf>
    <xf numFmtId="184" fontId="17" fillId="5" borderId="33" xfId="0" applyNumberFormat="1" applyFont="1" applyFill="1" applyBorder="1" applyAlignment="1">
      <alignment horizontal="center"/>
    </xf>
    <xf numFmtId="184" fontId="7" fillId="2" borderId="19" xfId="0" applyNumberFormat="1" applyFont="1" applyFill="1" applyBorder="1" applyAlignment="1">
      <alignment horizontal="center"/>
    </xf>
    <xf numFmtId="180" fontId="7" fillId="2" borderId="22" xfId="0" applyNumberFormat="1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9" fontId="17" fillId="2" borderId="12" xfId="0" applyNumberFormat="1" applyFont="1" applyFill="1" applyBorder="1" applyAlignment="1">
      <alignment horizontal="center" vertical="center"/>
    </xf>
    <xf numFmtId="188" fontId="17" fillId="2" borderId="12" xfId="0" applyNumberFormat="1" applyFont="1" applyFill="1" applyBorder="1" applyAlignment="1">
      <alignment horizontal="center" vertical="center"/>
    </xf>
    <xf numFmtId="164" fontId="17" fillId="2" borderId="12" xfId="0" applyNumberFormat="1" applyFont="1" applyFill="1" applyBorder="1" applyAlignment="1">
      <alignment horizontal="center" vertical="center"/>
    </xf>
    <xf numFmtId="190" fontId="17" fillId="2" borderId="12" xfId="0" applyNumberFormat="1" applyFont="1" applyFill="1" applyBorder="1" applyAlignment="1">
      <alignment horizontal="center" vertical="center"/>
    </xf>
    <xf numFmtId="190" fontId="17" fillId="2" borderId="34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9" fontId="17" fillId="2" borderId="14" xfId="0" applyNumberFormat="1" applyFont="1" applyFill="1" applyBorder="1" applyAlignment="1">
      <alignment horizontal="center" vertical="center"/>
    </xf>
    <xf numFmtId="10" fontId="17" fillId="2" borderId="14" xfId="0" applyNumberFormat="1" applyFont="1" applyFill="1" applyBorder="1" applyAlignment="1">
      <alignment horizontal="center" vertical="center"/>
    </xf>
    <xf numFmtId="188" fontId="17" fillId="2" borderId="14" xfId="0" applyNumberFormat="1" applyFont="1" applyFill="1" applyBorder="1" applyAlignment="1">
      <alignment horizontal="center" vertical="center"/>
    </xf>
    <xf numFmtId="164" fontId="17" fillId="2" borderId="14" xfId="0" applyNumberFormat="1" applyFont="1" applyFill="1" applyBorder="1" applyAlignment="1">
      <alignment horizontal="center" vertical="center"/>
    </xf>
    <xf numFmtId="190" fontId="17" fillId="2" borderId="14" xfId="0" applyNumberFormat="1" applyFont="1" applyFill="1" applyBorder="1" applyAlignment="1">
      <alignment horizontal="center" vertical="center"/>
    </xf>
    <xf numFmtId="190" fontId="17" fillId="2" borderId="3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9" fontId="17" fillId="3" borderId="12" xfId="0" applyNumberFormat="1" applyFont="1" applyFill="1" applyBorder="1" applyAlignment="1" applyProtection="1">
      <alignment horizontal="center" vertical="center"/>
      <protection locked="0"/>
    </xf>
    <xf numFmtId="188" fontId="17" fillId="3" borderId="12" xfId="0" applyNumberFormat="1" applyFont="1" applyFill="1" applyBorder="1" applyAlignment="1" applyProtection="1">
      <alignment horizontal="center" vertical="center"/>
      <protection locked="0"/>
    </xf>
    <xf numFmtId="195" fontId="17" fillId="2" borderId="12" xfId="0" applyNumberFormat="1" applyFont="1" applyFill="1" applyBorder="1" applyAlignment="1" applyProtection="1">
      <alignment horizontal="center" vertical="center"/>
      <protection/>
    </xf>
    <xf numFmtId="9" fontId="17" fillId="3" borderId="14" xfId="0" applyNumberFormat="1" applyFont="1" applyFill="1" applyBorder="1" applyAlignment="1" applyProtection="1">
      <alignment horizontal="center" vertical="center"/>
      <protection locked="0"/>
    </xf>
    <xf numFmtId="188" fontId="17" fillId="3" borderId="14" xfId="0" applyNumberFormat="1" applyFont="1" applyFill="1" applyBorder="1" applyAlignment="1" applyProtection="1">
      <alignment horizontal="center" vertical="center"/>
      <protection locked="0"/>
    </xf>
    <xf numFmtId="195" fontId="17" fillId="2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7" fillId="2" borderId="18" xfId="0" applyFont="1" applyFill="1" applyBorder="1" applyAlignment="1" applyProtection="1">
      <alignment/>
      <protection locked="0"/>
    </xf>
    <xf numFmtId="0" fontId="17" fillId="2" borderId="19" xfId="0" applyFont="1" applyFill="1" applyBorder="1" applyAlignment="1" applyProtection="1">
      <alignment/>
      <protection locked="0"/>
    </xf>
    <xf numFmtId="0" fontId="19" fillId="2" borderId="3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190" fontId="17" fillId="2" borderId="18" xfId="0" applyNumberFormat="1" applyFont="1" applyFill="1" applyBorder="1" applyAlignment="1" applyProtection="1" quotePrefix="1">
      <alignment horizontal="center"/>
      <protection locked="0"/>
    </xf>
    <xf numFmtId="190" fontId="17" fillId="2" borderId="19" xfId="0" applyNumberFormat="1" applyFont="1" applyFill="1" applyBorder="1" applyAlignment="1" applyProtection="1">
      <alignment horizontal="center"/>
      <protection locked="0"/>
    </xf>
    <xf numFmtId="199" fontId="17" fillId="2" borderId="39" xfId="0" applyNumberFormat="1" applyFont="1" applyFill="1" applyBorder="1" applyAlignment="1">
      <alignment horizontal="center"/>
    </xf>
    <xf numFmtId="0" fontId="19" fillId="2" borderId="23" xfId="0" applyFont="1" applyFill="1" applyBorder="1" applyAlignment="1">
      <alignment horizontal="right"/>
    </xf>
    <xf numFmtId="196" fontId="19" fillId="2" borderId="25" xfId="0" applyNumberFormat="1" applyFont="1" applyFill="1" applyBorder="1" applyAlignment="1">
      <alignment horizontal="left"/>
    </xf>
    <xf numFmtId="0" fontId="17" fillId="2" borderId="18" xfId="0" applyFont="1" applyFill="1" applyBorder="1" applyAlignment="1">
      <alignment/>
    </xf>
    <xf numFmtId="190" fontId="19" fillId="2" borderId="22" xfId="0" applyNumberFormat="1" applyFont="1" applyFill="1" applyBorder="1" applyAlignment="1">
      <alignment horizontal="center"/>
    </xf>
    <xf numFmtId="190" fontId="9" fillId="2" borderId="20" xfId="0" applyNumberFormat="1" applyFont="1" applyFill="1" applyBorder="1" applyAlignment="1">
      <alignment horizontal="center"/>
    </xf>
    <xf numFmtId="190" fontId="9" fillId="2" borderId="22" xfId="0" applyNumberFormat="1" applyFont="1" applyFill="1" applyBorder="1" applyAlignment="1">
      <alignment horizontal="center"/>
    </xf>
    <xf numFmtId="0" fontId="17" fillId="0" borderId="0" xfId="0" applyFont="1" applyAlignment="1">
      <alignment horizontal="justify" vertical="center" wrapText="1"/>
    </xf>
    <xf numFmtId="0" fontId="9" fillId="2" borderId="15" xfId="0" applyFont="1" applyFill="1" applyBorder="1" applyAlignment="1">
      <alignment/>
    </xf>
    <xf numFmtId="0" fontId="9" fillId="2" borderId="16" xfId="0" applyFont="1" applyFill="1" applyBorder="1" applyAlignment="1">
      <alignment horizontal="right"/>
    </xf>
    <xf numFmtId="190" fontId="9" fillId="2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190" fontId="9" fillId="3" borderId="19" xfId="0" applyNumberFormat="1" applyFont="1" applyFill="1" applyBorder="1" applyAlignment="1" applyProtection="1">
      <alignment horizontal="center"/>
      <protection locked="0"/>
    </xf>
    <xf numFmtId="193" fontId="9" fillId="3" borderId="19" xfId="0" applyNumberFormat="1" applyFont="1" applyFill="1" applyBorder="1" applyAlignment="1" applyProtection="1">
      <alignment horizontal="center"/>
      <protection locked="0"/>
    </xf>
    <xf numFmtId="190" fontId="9" fillId="2" borderId="19" xfId="0" applyNumberFormat="1" applyFont="1" applyFill="1" applyBorder="1" applyAlignment="1">
      <alignment horizontal="center"/>
    </xf>
    <xf numFmtId="0" fontId="9" fillId="2" borderId="20" xfId="0" applyFont="1" applyFill="1" applyBorder="1" applyAlignment="1">
      <alignment/>
    </xf>
    <xf numFmtId="0" fontId="9" fillId="2" borderId="21" xfId="0" applyFont="1" applyFill="1" applyBorder="1" applyAlignment="1">
      <alignment horizontal="right"/>
    </xf>
    <xf numFmtId="196" fontId="17" fillId="2" borderId="40" xfId="0" applyNumberFormat="1" applyFont="1" applyFill="1" applyBorder="1" applyAlignment="1">
      <alignment horizontal="center"/>
    </xf>
    <xf numFmtId="196" fontId="17" fillId="2" borderId="19" xfId="0" applyNumberFormat="1" applyFont="1" applyFill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7" fillId="2" borderId="23" xfId="0" applyFont="1" applyFill="1" applyBorder="1" applyAlignment="1">
      <alignment/>
    </xf>
    <xf numFmtId="190" fontId="19" fillId="2" borderId="41" xfId="0" applyNumberFormat="1" applyFont="1" applyFill="1" applyBorder="1" applyAlignment="1">
      <alignment horizontal="center"/>
    </xf>
    <xf numFmtId="0" fontId="17" fillId="2" borderId="18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86" fontId="17" fillId="3" borderId="19" xfId="0" applyNumberFormat="1" applyFont="1" applyFill="1" applyBorder="1" applyAlignment="1" applyProtection="1">
      <alignment vertical="center"/>
      <protection locked="0"/>
    </xf>
    <xf numFmtId="186" fontId="17" fillId="0" borderId="0" xfId="0" applyNumberFormat="1" applyFont="1" applyAlignment="1">
      <alignment/>
    </xf>
    <xf numFmtId="186" fontId="17" fillId="2" borderId="19" xfId="0" applyNumberFormat="1" applyFont="1" applyFill="1" applyBorder="1" applyAlignment="1">
      <alignment vertical="center"/>
    </xf>
    <xf numFmtId="10" fontId="17" fillId="3" borderId="19" xfId="0" applyNumberFormat="1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>
      <alignment horizontal="right" vertical="center"/>
    </xf>
    <xf numFmtId="9" fontId="17" fillId="3" borderId="19" xfId="0" applyNumberFormat="1" applyFont="1" applyFill="1" applyBorder="1" applyAlignment="1" applyProtection="1">
      <alignment vertical="center"/>
      <protection locked="0"/>
    </xf>
    <xf numFmtId="186" fontId="19" fillId="2" borderId="19" xfId="0" applyNumberFormat="1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vertical="center"/>
      <protection locked="0"/>
    </xf>
    <xf numFmtId="186" fontId="17" fillId="2" borderId="19" xfId="0" applyNumberFormat="1" applyFont="1" applyFill="1" applyBorder="1" applyAlignment="1" quotePrefix="1">
      <alignment vertical="center"/>
    </xf>
    <xf numFmtId="0" fontId="19" fillId="2" borderId="23" xfId="0" applyFont="1" applyFill="1" applyBorder="1" applyAlignment="1">
      <alignment vertical="center"/>
    </xf>
    <xf numFmtId="0" fontId="19" fillId="2" borderId="24" xfId="0" applyFont="1" applyFill="1" applyBorder="1" applyAlignment="1">
      <alignment vertical="center"/>
    </xf>
    <xf numFmtId="186" fontId="19" fillId="2" borderId="25" xfId="0" applyNumberFormat="1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21" fillId="2" borderId="15" xfId="0" applyFont="1" applyFill="1" applyBorder="1" applyAlignment="1">
      <alignment/>
    </xf>
    <xf numFmtId="0" fontId="21" fillId="2" borderId="16" xfId="0" applyFont="1" applyFill="1" applyBorder="1" applyAlignment="1">
      <alignment/>
    </xf>
    <xf numFmtId="0" fontId="21" fillId="2" borderId="17" xfId="0" applyFont="1" applyFill="1" applyBorder="1" applyAlignment="1">
      <alignment/>
    </xf>
    <xf numFmtId="0" fontId="21" fillId="2" borderId="18" xfId="0" applyFont="1" applyFill="1" applyBorder="1" applyAlignment="1">
      <alignment/>
    </xf>
    <xf numFmtId="0" fontId="21" fillId="2" borderId="19" xfId="0" applyFont="1" applyFill="1" applyBorder="1" applyAlignment="1">
      <alignment/>
    </xf>
    <xf numFmtId="0" fontId="21" fillId="2" borderId="20" xfId="0" applyFont="1" applyFill="1" applyBorder="1" applyAlignment="1">
      <alignment/>
    </xf>
    <xf numFmtId="0" fontId="21" fillId="2" borderId="21" xfId="0" applyFont="1" applyFill="1" applyBorder="1" applyAlignment="1">
      <alignment/>
    </xf>
    <xf numFmtId="0" fontId="21" fillId="2" borderId="22" xfId="0" applyFont="1" applyFill="1" applyBorder="1" applyAlignment="1">
      <alignment/>
    </xf>
    <xf numFmtId="0" fontId="17" fillId="2" borderId="42" xfId="0" applyFont="1" applyFill="1" applyBorder="1" applyAlignment="1">
      <alignment/>
    </xf>
    <xf numFmtId="0" fontId="17" fillId="2" borderId="43" xfId="0" applyFont="1" applyFill="1" applyBorder="1" applyAlignment="1">
      <alignment/>
    </xf>
    <xf numFmtId="0" fontId="17" fillId="2" borderId="44" xfId="0" applyFont="1" applyFill="1" applyBorder="1" applyAlignment="1">
      <alignment/>
    </xf>
    <xf numFmtId="0" fontId="17" fillId="2" borderId="45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7" fillId="2" borderId="46" xfId="0" applyFont="1" applyFill="1" applyBorder="1" applyAlignment="1">
      <alignment/>
    </xf>
    <xf numFmtId="0" fontId="23" fillId="2" borderId="4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0" fontId="23" fillId="2" borderId="46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7" fillId="2" borderId="45" xfId="0" applyFont="1" applyFill="1" applyBorder="1" applyAlignment="1">
      <alignment vertical="center"/>
    </xf>
    <xf numFmtId="0" fontId="17" fillId="2" borderId="46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2" borderId="47" xfId="0" applyFont="1" applyFill="1" applyBorder="1" applyAlignment="1">
      <alignment/>
    </xf>
    <xf numFmtId="0" fontId="17" fillId="2" borderId="48" xfId="0" applyFont="1" applyFill="1" applyBorder="1" applyAlignment="1">
      <alignment/>
    </xf>
    <xf numFmtId="0" fontId="17" fillId="2" borderId="49" xfId="0" applyFont="1" applyFill="1" applyBorder="1" applyAlignment="1">
      <alignment/>
    </xf>
    <xf numFmtId="0" fontId="17" fillId="0" borderId="0" xfId="0" applyFont="1" applyAlignment="1" applyProtection="1">
      <alignment/>
      <protection hidden="1" locked="0"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9" fillId="2" borderId="0" xfId="0" applyFont="1" applyFill="1" applyBorder="1" applyAlignment="1">
      <alignment/>
    </xf>
    <xf numFmtId="165" fontId="25" fillId="3" borderId="25" xfId="0" applyNumberFormat="1" applyFont="1" applyFill="1" applyBorder="1" applyAlignment="1" applyProtection="1">
      <alignment vertical="center"/>
      <protection locked="0"/>
    </xf>
    <xf numFmtId="0" fontId="24" fillId="3" borderId="23" xfId="0" applyFont="1" applyFill="1" applyBorder="1" applyAlignment="1">
      <alignment vertical="center"/>
    </xf>
    <xf numFmtId="201" fontId="17" fillId="3" borderId="25" xfId="0" applyNumberFormat="1" applyFont="1" applyFill="1" applyBorder="1" applyAlignment="1" applyProtection="1">
      <alignment/>
      <protection locked="0"/>
    </xf>
    <xf numFmtId="186" fontId="9" fillId="3" borderId="41" xfId="0" applyNumberFormat="1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3" borderId="15" xfId="0" applyFont="1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20" xfId="0" applyFill="1" applyBorder="1" applyAlignment="1" applyProtection="1">
      <alignment vertical="center"/>
      <protection locked="0"/>
    </xf>
    <xf numFmtId="0" fontId="0" fillId="3" borderId="21" xfId="0" applyFill="1" applyBorder="1" applyAlignment="1" applyProtection="1">
      <alignment vertical="center"/>
      <protection locked="0"/>
    </xf>
    <xf numFmtId="0" fontId="8" fillId="3" borderId="17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0" applyFont="1" applyAlignment="1">
      <alignment/>
    </xf>
    <xf numFmtId="0" fontId="17" fillId="2" borderId="25" xfId="0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186" fontId="7" fillId="2" borderId="0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16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9" fillId="2" borderId="23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0" fontId="20" fillId="0" borderId="16" xfId="0" applyFont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17" fillId="2" borderId="18" xfId="0" applyFont="1" applyFill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16" xfId="0" applyFont="1" applyBorder="1" applyAlignment="1">
      <alignment wrapText="1"/>
    </xf>
    <xf numFmtId="190" fontId="8" fillId="2" borderId="23" xfId="0" applyNumberFormat="1" applyFont="1" applyFill="1" applyBorder="1" applyAlignment="1">
      <alignment horizontal="center"/>
    </xf>
    <xf numFmtId="190" fontId="8" fillId="2" borderId="25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28" fillId="0" borderId="0" xfId="0" applyFont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6"/>
  <sheetViews>
    <sheetView showGridLines="0" tabSelected="1" workbookViewId="0" topLeftCell="A1">
      <selection activeCell="F19" sqref="F19"/>
    </sheetView>
  </sheetViews>
  <sheetFormatPr defaultColWidth="11.00390625" defaultRowHeight="12.75"/>
  <cols>
    <col min="1" max="1" width="5.375" style="1" customWidth="1"/>
    <col min="2" max="2" width="18.00390625" style="1" customWidth="1"/>
    <col min="3" max="3" width="8.625" style="1" customWidth="1"/>
    <col min="4" max="4" width="11.125" style="1" customWidth="1"/>
    <col min="5" max="5" width="13.75390625" style="1" customWidth="1"/>
    <col min="6" max="16384" width="10.75390625" style="1" customWidth="1"/>
  </cols>
  <sheetData>
    <row r="2" spans="2:7" ht="15.75" thickBot="1">
      <c r="B2" s="218" t="s">
        <v>59</v>
      </c>
      <c r="C2" s="218"/>
      <c r="D2" s="218"/>
      <c r="E2" s="218"/>
      <c r="F2" s="218"/>
      <c r="G2" s="17"/>
    </row>
    <row r="3" spans="3:5" ht="12.75" customHeight="1">
      <c r="C3" s="212">
        <v>15000</v>
      </c>
      <c r="D3" s="213"/>
      <c r="E3" s="216" t="s">
        <v>60</v>
      </c>
    </row>
    <row r="4" spans="3:5" ht="13.5" customHeight="1" thickBot="1">
      <c r="C4" s="214"/>
      <c r="D4" s="215"/>
      <c r="E4" s="217"/>
    </row>
    <row r="5" spans="2:7" ht="15">
      <c r="B5" s="17"/>
      <c r="C5" s="17"/>
      <c r="D5" s="17"/>
      <c r="E5" s="17"/>
      <c r="F5" s="17"/>
      <c r="G5" s="17"/>
    </row>
    <row r="7" ht="12.75">
      <c r="B7" s="2" t="s">
        <v>193</v>
      </c>
    </row>
    <row r="9" ht="12.75">
      <c r="B9" s="2" t="s">
        <v>189</v>
      </c>
    </row>
    <row r="10" ht="12.75">
      <c r="B10" s="1" t="s">
        <v>190</v>
      </c>
    </row>
    <row r="11" ht="12.75">
      <c r="B11" s="1" t="s">
        <v>191</v>
      </c>
    </row>
    <row r="12" ht="12.75">
      <c r="B12" s="1" t="s">
        <v>192</v>
      </c>
    </row>
    <row r="13" spans="2:6" ht="27" customHeight="1">
      <c r="B13" s="256" t="s">
        <v>58</v>
      </c>
      <c r="C13" s="256"/>
      <c r="D13" s="256"/>
      <c r="E13" s="256"/>
      <c r="F13" s="256"/>
    </row>
    <row r="15" ht="12.75">
      <c r="B15" s="2" t="s">
        <v>49</v>
      </c>
    </row>
    <row r="17" ht="12.75">
      <c r="B17" s="2" t="s">
        <v>178</v>
      </c>
    </row>
    <row r="19" ht="12.75">
      <c r="B19" s="2" t="s">
        <v>85</v>
      </c>
    </row>
    <row r="21" ht="12.75">
      <c r="B21" s="2" t="s">
        <v>194</v>
      </c>
    </row>
    <row r="23" ht="12.75">
      <c r="B23" s="2" t="s">
        <v>50</v>
      </c>
    </row>
    <row r="24" ht="13.5" thickBot="1">
      <c r="B24" s="1" t="s">
        <v>62</v>
      </c>
    </row>
    <row r="25" spans="2:5" ht="13.5" thickBot="1">
      <c r="B25" s="9" t="s">
        <v>52</v>
      </c>
      <c r="C25" s="10" t="s">
        <v>188</v>
      </c>
      <c r="D25" s="210" t="s">
        <v>51</v>
      </c>
      <c r="E25" s="211"/>
    </row>
    <row r="26" spans="2:5" ht="12.75">
      <c r="B26" s="11" t="s">
        <v>53</v>
      </c>
      <c r="C26" s="12" t="s">
        <v>55</v>
      </c>
      <c r="D26" s="7">
        <v>130</v>
      </c>
      <c r="E26" s="8" t="s">
        <v>61</v>
      </c>
    </row>
    <row r="27" spans="2:5" ht="12.75">
      <c r="B27" s="13"/>
      <c r="C27" s="14" t="s">
        <v>56</v>
      </c>
      <c r="D27" s="3">
        <v>110</v>
      </c>
      <c r="E27" s="4" t="s">
        <v>61</v>
      </c>
    </row>
    <row r="28" spans="2:5" ht="13.5" thickBot="1">
      <c r="B28" s="15"/>
      <c r="C28" s="16" t="s">
        <v>57</v>
      </c>
      <c r="D28" s="5">
        <v>80</v>
      </c>
      <c r="E28" s="6" t="s">
        <v>61</v>
      </c>
    </row>
    <row r="29" spans="2:5" ht="12.75">
      <c r="B29" s="11" t="s">
        <v>54</v>
      </c>
      <c r="C29" s="12" t="s">
        <v>55</v>
      </c>
      <c r="D29" s="7">
        <v>250</v>
      </c>
      <c r="E29" s="8" t="s">
        <v>61</v>
      </c>
    </row>
    <row r="30" spans="2:5" ht="12.75">
      <c r="B30" s="13"/>
      <c r="C30" s="14" t="s">
        <v>56</v>
      </c>
      <c r="D30" s="3">
        <v>190</v>
      </c>
      <c r="E30" s="4" t="s">
        <v>61</v>
      </c>
    </row>
    <row r="31" spans="2:5" ht="13.5" thickBot="1">
      <c r="B31" s="15"/>
      <c r="C31" s="16" t="s">
        <v>57</v>
      </c>
      <c r="D31" s="5">
        <v>130</v>
      </c>
      <c r="E31" s="6" t="s">
        <v>61</v>
      </c>
    </row>
    <row r="32" ht="12.75">
      <c r="B32" s="1" t="s">
        <v>187</v>
      </c>
    </row>
    <row r="34" ht="12.75">
      <c r="B34" s="2" t="s">
        <v>86</v>
      </c>
    </row>
    <row r="35" ht="12.75">
      <c r="B35" s="2" t="s">
        <v>17</v>
      </c>
    </row>
    <row r="36" spans="2:6" ht="15.75">
      <c r="B36" s="219" t="s">
        <v>177</v>
      </c>
      <c r="C36" s="220"/>
      <c r="D36" s="220"/>
      <c r="E36" s="220"/>
      <c r="F36" s="220"/>
    </row>
  </sheetData>
  <sheetProtection sheet="1" objects="1" scenarios="1"/>
  <mergeCells count="6">
    <mergeCell ref="B36:F36"/>
    <mergeCell ref="B13:F13"/>
    <mergeCell ref="D25:E25"/>
    <mergeCell ref="C3:D4"/>
    <mergeCell ref="E3:E4"/>
    <mergeCell ref="B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workbookViewId="0" topLeftCell="A1">
      <selection activeCell="B10" sqref="B10"/>
    </sheetView>
  </sheetViews>
  <sheetFormatPr defaultColWidth="11.00390625" defaultRowHeight="12.75"/>
  <cols>
    <col min="1" max="1" width="19.625" style="18" customWidth="1"/>
    <col min="2" max="3" width="11.625" style="18" bestFit="1" customWidth="1"/>
    <col min="4" max="4" width="12.625" style="18" bestFit="1" customWidth="1"/>
    <col min="5" max="5" width="10.125" style="18" customWidth="1"/>
    <col min="6" max="6" width="10.75390625" style="18" customWidth="1"/>
    <col min="7" max="7" width="11.00390625" style="18" customWidth="1"/>
    <col min="8" max="8" width="10.125" style="18" bestFit="1" customWidth="1"/>
    <col min="9" max="9" width="10.25390625" style="18" customWidth="1"/>
    <col min="10" max="10" width="10.75390625" style="18" customWidth="1"/>
    <col min="11" max="11" width="11.25390625" style="18" customWidth="1"/>
    <col min="12" max="16384" width="10.75390625" style="18" customWidth="1"/>
  </cols>
  <sheetData>
    <row r="1" spans="1:10" ht="22.5" customHeight="1" thickBot="1">
      <c r="A1" s="222" t="s">
        <v>77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2.75">
      <c r="A2" s="19" t="s">
        <v>142</v>
      </c>
      <c r="B2" s="20">
        <f>Besoins!C3</f>
        <v>15000</v>
      </c>
      <c r="C2" s="21" t="s">
        <v>60</v>
      </c>
      <c r="D2" s="22" t="s">
        <v>150</v>
      </c>
      <c r="E2" s="22"/>
      <c r="F2" s="22"/>
      <c r="G2" s="22"/>
      <c r="H2" s="22"/>
      <c r="I2" s="22"/>
      <c r="J2" s="23"/>
    </row>
    <row r="3" spans="1:10" ht="12.75">
      <c r="A3" s="24" t="s">
        <v>146</v>
      </c>
      <c r="B3" s="25" t="s">
        <v>179</v>
      </c>
      <c r="C3" s="26"/>
      <c r="D3" s="27"/>
      <c r="E3" s="27"/>
      <c r="F3" s="27"/>
      <c r="G3" s="27"/>
      <c r="H3" s="27"/>
      <c r="I3" s="27"/>
      <c r="J3" s="28"/>
    </row>
    <row r="4" spans="1:10" ht="12.75">
      <c r="A4" s="24" t="s">
        <v>33</v>
      </c>
      <c r="B4" s="29">
        <v>1600</v>
      </c>
      <c r="C4" s="26" t="s">
        <v>60</v>
      </c>
      <c r="D4" s="27" t="s">
        <v>162</v>
      </c>
      <c r="E4" s="27"/>
      <c r="F4" s="27"/>
      <c r="G4" s="27"/>
      <c r="H4" s="27"/>
      <c r="I4" s="27"/>
      <c r="J4" s="28"/>
    </row>
    <row r="5" spans="1:10" ht="13.5" thickBot="1">
      <c r="A5" s="30" t="s">
        <v>141</v>
      </c>
      <c r="B5" s="31">
        <v>1</v>
      </c>
      <c r="C5" s="32" t="s">
        <v>39</v>
      </c>
      <c r="D5" s="33" t="s">
        <v>14</v>
      </c>
      <c r="E5" s="33"/>
      <c r="F5" s="33"/>
      <c r="G5" s="33"/>
      <c r="H5" s="33"/>
      <c r="I5" s="33"/>
      <c r="J5" s="34"/>
    </row>
    <row r="6" spans="1:3" ht="13.5" thickBot="1">
      <c r="A6" s="35"/>
      <c r="B6" s="36"/>
      <c r="C6" s="1"/>
    </row>
    <row r="7" spans="1:6" ht="12.75">
      <c r="A7" s="19" t="s">
        <v>143</v>
      </c>
      <c r="B7" s="37">
        <v>0.8</v>
      </c>
      <c r="C7" s="22" t="s">
        <v>151</v>
      </c>
      <c r="D7" s="22"/>
      <c r="E7" s="22"/>
      <c r="F7" s="23"/>
    </row>
    <row r="8" spans="1:6" ht="13.5" thickBot="1">
      <c r="A8" s="30" t="s">
        <v>144</v>
      </c>
      <c r="B8" s="38">
        <f>1-B7</f>
        <v>0.19999999999999996</v>
      </c>
      <c r="C8" s="32"/>
      <c r="D8" s="33"/>
      <c r="E8" s="33"/>
      <c r="F8" s="34"/>
    </row>
    <row r="9" spans="1:3" ht="13.5" thickBot="1">
      <c r="A9" s="35"/>
      <c r="B9" s="36"/>
      <c r="C9" s="1"/>
    </row>
    <row r="10" spans="1:10" ht="13.5" thickBot="1">
      <c r="A10" s="39" t="s">
        <v>40</v>
      </c>
      <c r="B10" s="40">
        <v>0.6</v>
      </c>
      <c r="C10" s="41" t="s">
        <v>76</v>
      </c>
      <c r="D10" s="41"/>
      <c r="E10" s="41"/>
      <c r="F10" s="41"/>
      <c r="G10" s="41"/>
      <c r="H10" s="41"/>
      <c r="I10" s="41"/>
      <c r="J10" s="42"/>
    </row>
    <row r="11" spans="1:3" ht="12.75">
      <c r="A11" s="35"/>
      <c r="B11" s="43"/>
      <c r="C11" s="1"/>
    </row>
    <row r="12" spans="1:4" ht="15.75" thickBot="1">
      <c r="A12" s="35"/>
      <c r="B12" s="36"/>
      <c r="C12" s="1"/>
      <c r="D12" s="1" t="s">
        <v>155</v>
      </c>
    </row>
    <row r="13" spans="1:5" ht="15.75" thickBot="1">
      <c r="A13" s="209" t="s">
        <v>16</v>
      </c>
      <c r="B13" s="221"/>
      <c r="C13" s="1"/>
      <c r="E13" s="44">
        <v>4</v>
      </c>
    </row>
    <row r="14" spans="1:5" ht="15">
      <c r="A14" s="24" t="s">
        <v>145</v>
      </c>
      <c r="B14" s="45">
        <f>B2*B7/B10</f>
        <v>20000</v>
      </c>
      <c r="C14" s="1"/>
      <c r="E14" s="18">
        <f>VLOOKUP(E13,Comparaisons!A9:D12,4)</f>
        <v>0.11</v>
      </c>
    </row>
    <row r="15" spans="1:5" ht="15">
      <c r="A15" s="24" t="s">
        <v>146</v>
      </c>
      <c r="B15" s="46">
        <f>B14/B4</f>
        <v>12.5</v>
      </c>
      <c r="C15" s="1"/>
      <c r="E15" s="18">
        <f>VLOOKUP(E13,Comparaisons!A9:D12,3)</f>
        <v>0.95</v>
      </c>
    </row>
    <row r="16" spans="1:3" ht="15.75" thickBot="1">
      <c r="A16" s="30" t="s">
        <v>147</v>
      </c>
      <c r="B16" s="47">
        <f>B15*B5</f>
        <v>12.5</v>
      </c>
      <c r="C16" s="1"/>
    </row>
    <row r="17" spans="1:3" ht="15.75" thickBot="1">
      <c r="A17" s="35"/>
      <c r="B17" s="36"/>
      <c r="C17" s="1"/>
    </row>
    <row r="18" spans="1:8" ht="13.5" thickBot="1">
      <c r="A18" s="209" t="s">
        <v>152</v>
      </c>
      <c r="B18" s="224"/>
      <c r="C18" s="41"/>
      <c r="D18" s="226" t="s">
        <v>153</v>
      </c>
      <c r="E18" s="224"/>
      <c r="F18" s="41"/>
      <c r="G18" s="226" t="s">
        <v>156</v>
      </c>
      <c r="H18" s="227"/>
    </row>
    <row r="19" spans="1:8" ht="12.75">
      <c r="A19" s="24" t="s">
        <v>182</v>
      </c>
      <c r="B19" s="48">
        <v>50</v>
      </c>
      <c r="C19" s="26"/>
      <c r="D19" s="26" t="s">
        <v>48</v>
      </c>
      <c r="E19" s="49">
        <f>E14</f>
        <v>0.11</v>
      </c>
      <c r="F19" s="27"/>
      <c r="G19" s="228">
        <f>B21+E21</f>
        <v>972.3684210526316</v>
      </c>
      <c r="H19" s="229"/>
    </row>
    <row r="20" spans="1:8" ht="12.75">
      <c r="A20" s="24" t="s">
        <v>48</v>
      </c>
      <c r="B20" s="50">
        <f>B19/B4</f>
        <v>0.03125</v>
      </c>
      <c r="C20" s="26"/>
      <c r="D20" s="26" t="s">
        <v>154</v>
      </c>
      <c r="E20" s="51">
        <f>E15</f>
        <v>0.95</v>
      </c>
      <c r="F20" s="27"/>
      <c r="G20" s="27"/>
      <c r="H20" s="28"/>
    </row>
    <row r="21" spans="1:8" ht="13.5" thickBot="1">
      <c r="A21" s="30" t="s">
        <v>181</v>
      </c>
      <c r="B21" s="52">
        <f>B15*B19</f>
        <v>625</v>
      </c>
      <c r="C21" s="32"/>
      <c r="D21" s="32" t="s">
        <v>181</v>
      </c>
      <c r="E21" s="53">
        <f>((B2*B8)/E20)*E19</f>
        <v>347.36842105263156</v>
      </c>
      <c r="F21" s="33"/>
      <c r="G21" s="33"/>
      <c r="H21" s="34"/>
    </row>
    <row r="22" spans="1:3" ht="12.75">
      <c r="A22" s="35"/>
      <c r="B22" s="54"/>
      <c r="C22" s="1"/>
    </row>
    <row r="23" spans="1:11" ht="13.5" thickBot="1">
      <c r="A23" s="225" t="s">
        <v>157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</row>
    <row r="24" spans="1:12" ht="12.75" thickBot="1">
      <c r="A24" s="55"/>
      <c r="B24" s="56" t="s">
        <v>22</v>
      </c>
      <c r="C24" s="56" t="s">
        <v>23</v>
      </c>
      <c r="D24" s="56" t="s">
        <v>24</v>
      </c>
      <c r="E24" s="56" t="s">
        <v>25</v>
      </c>
      <c r="F24" s="56" t="s">
        <v>26</v>
      </c>
      <c r="G24" s="56" t="s">
        <v>27</v>
      </c>
      <c r="H24" s="56" t="s">
        <v>29</v>
      </c>
      <c r="I24" s="56" t="s">
        <v>30</v>
      </c>
      <c r="J24" s="56" t="s">
        <v>31</v>
      </c>
      <c r="K24" s="57" t="s">
        <v>32</v>
      </c>
      <c r="L24" s="58"/>
    </row>
    <row r="25" spans="1:12" ht="12">
      <c r="A25" s="59" t="s">
        <v>34</v>
      </c>
      <c r="B25" s="60">
        <v>0.02567120591143701</v>
      </c>
      <c r="C25" s="60">
        <v>0.07122278300247888</v>
      </c>
      <c r="D25" s="60">
        <v>0.12776432135604068</v>
      </c>
      <c r="E25" s="60">
        <v>0.16514184540580323</v>
      </c>
      <c r="F25" s="60">
        <v>0.17316118027071578</v>
      </c>
      <c r="G25" s="60">
        <v>0.14252452672633328</v>
      </c>
      <c r="H25" s="60">
        <v>0.1267803239280566</v>
      </c>
      <c r="I25" s="60">
        <v>0.09395950418108599</v>
      </c>
      <c r="J25" s="60">
        <v>0.05334005911971853</v>
      </c>
      <c r="K25" s="61">
        <v>0.02043425009833004</v>
      </c>
      <c r="L25" s="62">
        <f>SUM(B25:K25)</f>
        <v>1</v>
      </c>
    </row>
    <row r="26" spans="1:12" ht="12.75" thickBot="1">
      <c r="A26" s="63" t="s">
        <v>35</v>
      </c>
      <c r="B26" s="64">
        <f>B25</f>
        <v>0.02567120591143701</v>
      </c>
      <c r="C26" s="64">
        <f>C25+B26</f>
        <v>0.09689398891391589</v>
      </c>
      <c r="D26" s="64">
        <f aca="true" t="shared" si="0" ref="D26:K26">D25+C26</f>
        <v>0.22465831026995658</v>
      </c>
      <c r="E26" s="64">
        <f t="shared" si="0"/>
        <v>0.3898001556757598</v>
      </c>
      <c r="F26" s="64">
        <f t="shared" si="0"/>
        <v>0.5629613359464756</v>
      </c>
      <c r="G26" s="64">
        <f t="shared" si="0"/>
        <v>0.7054858626728089</v>
      </c>
      <c r="H26" s="64">
        <f t="shared" si="0"/>
        <v>0.8322661866008655</v>
      </c>
      <c r="I26" s="64">
        <f t="shared" si="0"/>
        <v>0.9262256907819515</v>
      </c>
      <c r="J26" s="64">
        <f t="shared" si="0"/>
        <v>0.97956574990167</v>
      </c>
      <c r="K26" s="65">
        <f t="shared" si="0"/>
        <v>1</v>
      </c>
      <c r="L26" s="58"/>
    </row>
    <row r="27" spans="1:11" ht="6" customHeight="1" thickBot="1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8"/>
    </row>
    <row r="28" spans="1:11" ht="12">
      <c r="A28" s="59" t="s">
        <v>36</v>
      </c>
      <c r="B28" s="69">
        <f>$B$14*B25</f>
        <v>513.4241182287402</v>
      </c>
      <c r="C28" s="69">
        <f aca="true" t="shared" si="1" ref="C28:K28">$B$14*C25</f>
        <v>1424.4556600495775</v>
      </c>
      <c r="D28" s="69">
        <f t="shared" si="1"/>
        <v>2555.2864271208136</v>
      </c>
      <c r="E28" s="69">
        <f t="shared" si="1"/>
        <v>3302.8369081160645</v>
      </c>
      <c r="F28" s="69">
        <f t="shared" si="1"/>
        <v>3463.2236054143154</v>
      </c>
      <c r="G28" s="69">
        <f t="shared" si="1"/>
        <v>2850.4905345266657</v>
      </c>
      <c r="H28" s="69">
        <f t="shared" si="1"/>
        <v>2535.606478561132</v>
      </c>
      <c r="I28" s="69">
        <f t="shared" si="1"/>
        <v>1879.1900836217199</v>
      </c>
      <c r="J28" s="69">
        <f t="shared" si="1"/>
        <v>1066.8011823943705</v>
      </c>
      <c r="K28" s="70">
        <f t="shared" si="1"/>
        <v>408.6850019666008</v>
      </c>
    </row>
    <row r="29" spans="1:11" ht="12.75" thickBot="1">
      <c r="A29" s="63" t="s">
        <v>35</v>
      </c>
      <c r="B29" s="71">
        <f>$B$14*B26</f>
        <v>513.4241182287402</v>
      </c>
      <c r="C29" s="71">
        <f aca="true" t="shared" si="2" ref="C29:K29">$B$14*C26</f>
        <v>1937.8797782783176</v>
      </c>
      <c r="D29" s="71">
        <f t="shared" si="2"/>
        <v>4493.166205399131</v>
      </c>
      <c r="E29" s="71">
        <f t="shared" si="2"/>
        <v>7796.003113515197</v>
      </c>
      <c r="F29" s="71">
        <f t="shared" si="2"/>
        <v>11259.22671892951</v>
      </c>
      <c r="G29" s="71">
        <f t="shared" si="2"/>
        <v>14109.717253456178</v>
      </c>
      <c r="H29" s="71">
        <f t="shared" si="2"/>
        <v>16645.32373201731</v>
      </c>
      <c r="I29" s="71">
        <f t="shared" si="2"/>
        <v>18524.51381563903</v>
      </c>
      <c r="J29" s="71">
        <f t="shared" si="2"/>
        <v>19591.3149980334</v>
      </c>
      <c r="K29" s="72">
        <f t="shared" si="2"/>
        <v>20000</v>
      </c>
    </row>
    <row r="30" spans="1:11" ht="6.75" customHeight="1" thickBot="1">
      <c r="A30" s="66"/>
      <c r="B30" s="73"/>
      <c r="C30" s="73"/>
      <c r="D30" s="73"/>
      <c r="E30" s="73"/>
      <c r="F30" s="73"/>
      <c r="G30" s="73"/>
      <c r="H30" s="73"/>
      <c r="I30" s="73"/>
      <c r="J30" s="73"/>
      <c r="K30" s="74"/>
    </row>
    <row r="31" spans="1:11" ht="12">
      <c r="A31" s="59" t="s">
        <v>37</v>
      </c>
      <c r="B31" s="75">
        <f>$B$15*B25</f>
        <v>0.32089007389296265</v>
      </c>
      <c r="C31" s="75">
        <f aca="true" t="shared" si="3" ref="C31:K31">$B$15*C25</f>
        <v>0.8902847875309859</v>
      </c>
      <c r="D31" s="75">
        <f t="shared" si="3"/>
        <v>1.5970540169505085</v>
      </c>
      <c r="E31" s="75">
        <f t="shared" si="3"/>
        <v>2.0642730675725405</v>
      </c>
      <c r="F31" s="75">
        <f t="shared" si="3"/>
        <v>2.1645147533839473</v>
      </c>
      <c r="G31" s="75">
        <f t="shared" si="3"/>
        <v>1.781556584079166</v>
      </c>
      <c r="H31" s="75">
        <f t="shared" si="3"/>
        <v>1.5847540491007075</v>
      </c>
      <c r="I31" s="75">
        <f t="shared" si="3"/>
        <v>1.174493802263575</v>
      </c>
      <c r="J31" s="75">
        <f t="shared" si="3"/>
        <v>0.6667507389964816</v>
      </c>
      <c r="K31" s="76">
        <f t="shared" si="3"/>
        <v>0.2554281262291255</v>
      </c>
    </row>
    <row r="32" spans="1:11" ht="12.75" thickBot="1">
      <c r="A32" s="63" t="s">
        <v>35</v>
      </c>
      <c r="B32" s="77">
        <f>$B$15*B26</f>
        <v>0.32089007389296265</v>
      </c>
      <c r="C32" s="77">
        <f aca="true" t="shared" si="4" ref="C32:K32">$B$15*C26</f>
        <v>1.2111748614239486</v>
      </c>
      <c r="D32" s="77">
        <f t="shared" si="4"/>
        <v>2.8082288783744573</v>
      </c>
      <c r="E32" s="77">
        <f t="shared" si="4"/>
        <v>4.872501945946998</v>
      </c>
      <c r="F32" s="77">
        <f t="shared" si="4"/>
        <v>7.037016699330945</v>
      </c>
      <c r="G32" s="77">
        <f t="shared" si="4"/>
        <v>8.81857328341011</v>
      </c>
      <c r="H32" s="77">
        <f t="shared" si="4"/>
        <v>10.403327332510818</v>
      </c>
      <c r="I32" s="77">
        <f t="shared" si="4"/>
        <v>11.577821134774394</v>
      </c>
      <c r="J32" s="77">
        <f t="shared" si="4"/>
        <v>12.244571873770875</v>
      </c>
      <c r="K32" s="78">
        <f t="shared" si="4"/>
        <v>12.5</v>
      </c>
    </row>
    <row r="33" spans="1:11" ht="6.75" customHeight="1" thickBot="1">
      <c r="A33" s="66"/>
      <c r="B33" s="79"/>
      <c r="C33" s="79"/>
      <c r="D33" s="79"/>
      <c r="E33" s="79"/>
      <c r="F33" s="79"/>
      <c r="G33" s="79"/>
      <c r="H33" s="79"/>
      <c r="I33" s="79"/>
      <c r="J33" s="79"/>
      <c r="K33" s="80"/>
    </row>
    <row r="34" spans="1:11" ht="12">
      <c r="A34" s="59" t="s">
        <v>38</v>
      </c>
      <c r="B34" s="81">
        <f>$B$16*B25</f>
        <v>0.32089007389296265</v>
      </c>
      <c r="C34" s="81">
        <f aca="true" t="shared" si="5" ref="C34:K34">$B$16*C25</f>
        <v>0.8902847875309859</v>
      </c>
      <c r="D34" s="81">
        <f t="shared" si="5"/>
        <v>1.5970540169505085</v>
      </c>
      <c r="E34" s="81">
        <f t="shared" si="5"/>
        <v>2.0642730675725405</v>
      </c>
      <c r="F34" s="81">
        <f t="shared" si="5"/>
        <v>2.1645147533839473</v>
      </c>
      <c r="G34" s="81">
        <f t="shared" si="5"/>
        <v>1.781556584079166</v>
      </c>
      <c r="H34" s="81">
        <f t="shared" si="5"/>
        <v>1.5847540491007075</v>
      </c>
      <c r="I34" s="81">
        <f t="shared" si="5"/>
        <v>1.174493802263575</v>
      </c>
      <c r="J34" s="81">
        <f t="shared" si="5"/>
        <v>0.6667507389964816</v>
      </c>
      <c r="K34" s="82">
        <f t="shared" si="5"/>
        <v>0.2554281262291255</v>
      </c>
    </row>
    <row r="35" spans="1:11" ht="12.75" thickBot="1">
      <c r="A35" s="63" t="s">
        <v>35</v>
      </c>
      <c r="B35" s="83">
        <f>$B$16*B26</f>
        <v>0.32089007389296265</v>
      </c>
      <c r="C35" s="83">
        <f aca="true" t="shared" si="6" ref="C35:K35">$B$16*C26</f>
        <v>1.2111748614239486</v>
      </c>
      <c r="D35" s="83">
        <f t="shared" si="6"/>
        <v>2.8082288783744573</v>
      </c>
      <c r="E35" s="83">
        <f t="shared" si="6"/>
        <v>4.872501945946998</v>
      </c>
      <c r="F35" s="83">
        <f t="shared" si="6"/>
        <v>7.037016699330945</v>
      </c>
      <c r="G35" s="83">
        <f t="shared" si="6"/>
        <v>8.81857328341011</v>
      </c>
      <c r="H35" s="83">
        <f t="shared" si="6"/>
        <v>10.403327332510818</v>
      </c>
      <c r="I35" s="83">
        <f t="shared" si="6"/>
        <v>11.577821134774394</v>
      </c>
      <c r="J35" s="83">
        <f t="shared" si="6"/>
        <v>12.244571873770875</v>
      </c>
      <c r="K35" s="84">
        <f t="shared" si="6"/>
        <v>12.5</v>
      </c>
    </row>
  </sheetData>
  <sheetProtection sheet="1" objects="1" scenarios="1"/>
  <mergeCells count="7">
    <mergeCell ref="A13:B13"/>
    <mergeCell ref="A1:J1"/>
    <mergeCell ref="A18:B18"/>
    <mergeCell ref="A23:K23"/>
    <mergeCell ref="D18:E18"/>
    <mergeCell ref="G18:H18"/>
    <mergeCell ref="G19:H19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4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workbookViewId="0" topLeftCell="A1">
      <selection activeCell="A10" sqref="A10"/>
    </sheetView>
  </sheetViews>
  <sheetFormatPr defaultColWidth="11.00390625" defaultRowHeight="12.75"/>
  <cols>
    <col min="1" max="1" width="19.625" style="18" customWidth="1"/>
    <col min="2" max="3" width="11.625" style="18" bestFit="1" customWidth="1"/>
    <col min="4" max="4" width="12.625" style="18" bestFit="1" customWidth="1"/>
    <col min="5" max="5" width="10.125" style="18" customWidth="1"/>
    <col min="6" max="6" width="10.75390625" style="18" customWidth="1"/>
    <col min="7" max="7" width="11.00390625" style="18" customWidth="1"/>
    <col min="8" max="8" width="9.75390625" style="18" bestFit="1" customWidth="1"/>
    <col min="9" max="9" width="10.25390625" style="18" customWidth="1"/>
    <col min="10" max="10" width="10.75390625" style="18" customWidth="1"/>
    <col min="11" max="11" width="11.25390625" style="18" customWidth="1"/>
    <col min="12" max="16384" width="10.75390625" style="18" customWidth="1"/>
  </cols>
  <sheetData>
    <row r="1" spans="1:10" ht="22.5" customHeight="1" thickBot="1">
      <c r="A1" s="222" t="s">
        <v>19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2.75">
      <c r="A2" s="19" t="s">
        <v>142</v>
      </c>
      <c r="B2" s="20">
        <f>Besoins!C3</f>
        <v>15000</v>
      </c>
      <c r="C2" s="21" t="s">
        <v>60</v>
      </c>
      <c r="D2" s="22" t="s">
        <v>150</v>
      </c>
      <c r="E2" s="22"/>
      <c r="F2" s="22"/>
      <c r="G2" s="22"/>
      <c r="H2" s="22"/>
      <c r="I2" s="22"/>
      <c r="J2" s="23"/>
    </row>
    <row r="3" spans="1:10" ht="12.75">
      <c r="A3" s="24" t="s">
        <v>146</v>
      </c>
      <c r="B3" s="25" t="s">
        <v>180</v>
      </c>
      <c r="C3" s="26"/>
      <c r="D3" s="27"/>
      <c r="E3" s="27"/>
      <c r="F3" s="27"/>
      <c r="G3" s="27"/>
      <c r="H3" s="27"/>
      <c r="I3" s="27"/>
      <c r="J3" s="28"/>
    </row>
    <row r="4" spans="1:10" ht="12.75">
      <c r="A4" s="24" t="s">
        <v>33</v>
      </c>
      <c r="B4" s="85">
        <v>4600</v>
      </c>
      <c r="C4" s="26" t="s">
        <v>60</v>
      </c>
      <c r="D4" s="27" t="s">
        <v>15</v>
      </c>
      <c r="E4" s="27"/>
      <c r="F4" s="27"/>
      <c r="G4" s="27"/>
      <c r="H4" s="27"/>
      <c r="I4" s="27"/>
      <c r="J4" s="28"/>
    </row>
    <row r="5" spans="1:10" ht="13.5" thickBot="1">
      <c r="A5" s="30" t="s">
        <v>141</v>
      </c>
      <c r="B5" s="86">
        <v>1.42</v>
      </c>
      <c r="C5" s="32" t="s">
        <v>39</v>
      </c>
      <c r="D5" s="33" t="s">
        <v>88</v>
      </c>
      <c r="E5" s="33"/>
      <c r="F5" s="33"/>
      <c r="G5" s="33"/>
      <c r="H5" s="33"/>
      <c r="I5" s="33"/>
      <c r="J5" s="34"/>
    </row>
    <row r="6" spans="1:3" ht="13.5" thickBot="1">
      <c r="A6" s="35"/>
      <c r="B6" s="36"/>
      <c r="C6" s="1"/>
    </row>
    <row r="7" spans="1:6" ht="12.75">
      <c r="A7" s="19" t="s">
        <v>143</v>
      </c>
      <c r="B7" s="37">
        <v>0.8</v>
      </c>
      <c r="C7" s="22" t="s">
        <v>151</v>
      </c>
      <c r="D7" s="22"/>
      <c r="E7" s="22"/>
      <c r="F7" s="23"/>
    </row>
    <row r="8" spans="1:6" ht="13.5" thickBot="1">
      <c r="A8" s="30" t="s">
        <v>144</v>
      </c>
      <c r="B8" s="38">
        <f>1-B7</f>
        <v>0.19999999999999996</v>
      </c>
      <c r="C8" s="32"/>
      <c r="D8" s="33"/>
      <c r="E8" s="33"/>
      <c r="F8" s="34"/>
    </row>
    <row r="9" spans="1:3" ht="13.5" thickBot="1">
      <c r="A9" s="35"/>
      <c r="B9" s="36"/>
      <c r="C9" s="1"/>
    </row>
    <row r="10" spans="1:10" ht="13.5" thickBot="1">
      <c r="A10" s="39" t="s">
        <v>40</v>
      </c>
      <c r="B10" s="40">
        <v>0.8</v>
      </c>
      <c r="C10" s="41" t="s">
        <v>21</v>
      </c>
      <c r="D10" s="41"/>
      <c r="E10" s="41"/>
      <c r="F10" s="41"/>
      <c r="G10" s="41"/>
      <c r="H10" s="41"/>
      <c r="I10" s="41"/>
      <c r="J10" s="42"/>
    </row>
    <row r="11" spans="1:3" ht="12.75">
      <c r="A11" s="35"/>
      <c r="B11" s="43"/>
      <c r="C11" s="1"/>
    </row>
    <row r="12" spans="1:4" ht="15.75" thickBot="1">
      <c r="A12" s="35"/>
      <c r="B12" s="36"/>
      <c r="C12" s="1"/>
      <c r="D12" s="1" t="s">
        <v>155</v>
      </c>
    </row>
    <row r="13" spans="1:5" ht="15.75" thickBot="1">
      <c r="A13" s="209" t="s">
        <v>16</v>
      </c>
      <c r="B13" s="221"/>
      <c r="C13" s="1"/>
      <c r="E13" s="44">
        <v>4</v>
      </c>
    </row>
    <row r="14" spans="1:5" ht="15">
      <c r="A14" s="24" t="s">
        <v>145</v>
      </c>
      <c r="B14" s="45">
        <f>B2*B7/B10</f>
        <v>15000</v>
      </c>
      <c r="C14" s="1"/>
      <c r="E14" s="18">
        <f>VLOOKUP(E13,Comparaisons!A9:D12,4)</f>
        <v>0.11</v>
      </c>
    </row>
    <row r="15" spans="1:5" ht="15">
      <c r="A15" s="24" t="s">
        <v>146</v>
      </c>
      <c r="B15" s="87">
        <f>B14/B4</f>
        <v>3.260869565217391</v>
      </c>
      <c r="C15" s="1"/>
      <c r="E15" s="18">
        <f>VLOOKUP(E13,Comparaisons!A9:D12,3)</f>
        <v>0.95</v>
      </c>
    </row>
    <row r="16" spans="1:3" ht="15.75" thickBot="1">
      <c r="A16" s="30" t="s">
        <v>147</v>
      </c>
      <c r="B16" s="47">
        <f>B15*B5</f>
        <v>4.630434782608695</v>
      </c>
      <c r="C16" s="1"/>
    </row>
    <row r="17" spans="1:3" ht="15.75" thickBot="1">
      <c r="A17" s="35"/>
      <c r="B17" s="36"/>
      <c r="C17" s="1"/>
    </row>
    <row r="18" spans="1:8" ht="13.5" thickBot="1">
      <c r="A18" s="209" t="s">
        <v>148</v>
      </c>
      <c r="B18" s="224"/>
      <c r="C18" s="88"/>
      <c r="D18" s="226" t="s">
        <v>153</v>
      </c>
      <c r="E18" s="224"/>
      <c r="F18" s="41"/>
      <c r="G18" s="226" t="s">
        <v>156</v>
      </c>
      <c r="H18" s="227"/>
    </row>
    <row r="19" spans="1:8" ht="12.75">
      <c r="A19" s="24" t="s">
        <v>182</v>
      </c>
      <c r="B19" s="48">
        <v>250</v>
      </c>
      <c r="C19" s="26"/>
      <c r="D19" s="26" t="s">
        <v>48</v>
      </c>
      <c r="E19" s="49">
        <f>E14</f>
        <v>0.11</v>
      </c>
      <c r="F19" s="27"/>
      <c r="G19" s="228">
        <f>B21+E21</f>
        <v>1162.5858123569792</v>
      </c>
      <c r="H19" s="229"/>
    </row>
    <row r="20" spans="1:8" ht="12.75">
      <c r="A20" s="24" t="s">
        <v>48</v>
      </c>
      <c r="B20" s="50">
        <f>B19/B4</f>
        <v>0.05434782608695652</v>
      </c>
      <c r="C20" s="26"/>
      <c r="D20" s="26" t="s">
        <v>154</v>
      </c>
      <c r="E20" s="51">
        <f>E15</f>
        <v>0.95</v>
      </c>
      <c r="F20" s="27"/>
      <c r="G20" s="27"/>
      <c r="H20" s="28"/>
    </row>
    <row r="21" spans="1:8" ht="13.5" thickBot="1">
      <c r="A21" s="30" t="s">
        <v>181</v>
      </c>
      <c r="B21" s="52">
        <f>B15*B19</f>
        <v>815.2173913043478</v>
      </c>
      <c r="C21" s="32"/>
      <c r="D21" s="32" t="s">
        <v>181</v>
      </c>
      <c r="E21" s="53">
        <f>((B2*B8)/E20)*E19</f>
        <v>347.36842105263156</v>
      </c>
      <c r="F21" s="33"/>
      <c r="G21" s="33"/>
      <c r="H21" s="34"/>
    </row>
    <row r="22" spans="1:3" ht="12.75">
      <c r="A22" s="35"/>
      <c r="B22" s="54"/>
      <c r="C22" s="1"/>
    </row>
    <row r="23" spans="1:11" ht="13.5" thickBot="1">
      <c r="A23" s="225" t="s">
        <v>149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</row>
    <row r="24" spans="1:12" ht="12.75" thickBot="1">
      <c r="A24" s="55"/>
      <c r="B24" s="56" t="s">
        <v>22</v>
      </c>
      <c r="C24" s="56" t="s">
        <v>23</v>
      </c>
      <c r="D24" s="56" t="s">
        <v>24</v>
      </c>
      <c r="E24" s="56" t="s">
        <v>25</v>
      </c>
      <c r="F24" s="56" t="s">
        <v>26</v>
      </c>
      <c r="G24" s="56" t="s">
        <v>27</v>
      </c>
      <c r="H24" s="56" t="s">
        <v>29</v>
      </c>
      <c r="I24" s="56" t="s">
        <v>30</v>
      </c>
      <c r="J24" s="56" t="s">
        <v>31</v>
      </c>
      <c r="K24" s="57" t="s">
        <v>32</v>
      </c>
      <c r="L24" s="58"/>
    </row>
    <row r="25" spans="1:12" ht="12">
      <c r="A25" s="59" t="s">
        <v>34</v>
      </c>
      <c r="B25" s="60">
        <v>0.02567120591143701</v>
      </c>
      <c r="C25" s="60">
        <v>0.07122278300247888</v>
      </c>
      <c r="D25" s="60">
        <v>0.12776432135604068</v>
      </c>
      <c r="E25" s="60">
        <v>0.16514184540580323</v>
      </c>
      <c r="F25" s="60">
        <v>0.17316118027071578</v>
      </c>
      <c r="G25" s="60">
        <v>0.14252452672633328</v>
      </c>
      <c r="H25" s="60">
        <v>0.1267803239280566</v>
      </c>
      <c r="I25" s="60">
        <v>0.09395950418108599</v>
      </c>
      <c r="J25" s="60">
        <v>0.05334005911971853</v>
      </c>
      <c r="K25" s="61">
        <v>0.02043425009833004</v>
      </c>
      <c r="L25" s="62">
        <f>SUM(B25:K25)</f>
        <v>1</v>
      </c>
    </row>
    <row r="26" spans="1:12" ht="12.75" thickBot="1">
      <c r="A26" s="63" t="s">
        <v>35</v>
      </c>
      <c r="B26" s="64">
        <f>B25</f>
        <v>0.02567120591143701</v>
      </c>
      <c r="C26" s="64">
        <f>C25+B26</f>
        <v>0.09689398891391589</v>
      </c>
      <c r="D26" s="64">
        <f aca="true" t="shared" si="0" ref="D26:K26">D25+C26</f>
        <v>0.22465831026995658</v>
      </c>
      <c r="E26" s="64">
        <f t="shared" si="0"/>
        <v>0.3898001556757598</v>
      </c>
      <c r="F26" s="64">
        <f t="shared" si="0"/>
        <v>0.5629613359464756</v>
      </c>
      <c r="G26" s="64">
        <f t="shared" si="0"/>
        <v>0.7054858626728089</v>
      </c>
      <c r="H26" s="64">
        <f t="shared" si="0"/>
        <v>0.8322661866008655</v>
      </c>
      <c r="I26" s="64">
        <f t="shared" si="0"/>
        <v>0.9262256907819515</v>
      </c>
      <c r="J26" s="64">
        <f t="shared" si="0"/>
        <v>0.97956574990167</v>
      </c>
      <c r="K26" s="65">
        <f t="shared" si="0"/>
        <v>1</v>
      </c>
      <c r="L26" s="58"/>
    </row>
    <row r="27" spans="1:11" ht="6" customHeight="1" thickBot="1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8"/>
    </row>
    <row r="28" spans="1:11" ht="12">
      <c r="A28" s="59" t="s">
        <v>36</v>
      </c>
      <c r="B28" s="89">
        <f>$B$14*B25</f>
        <v>385.0680886715552</v>
      </c>
      <c r="C28" s="89">
        <f aca="true" t="shared" si="1" ref="C28:K28">$B$14*C25</f>
        <v>1068.341745037183</v>
      </c>
      <c r="D28" s="89">
        <f t="shared" si="1"/>
        <v>1916.4648203406102</v>
      </c>
      <c r="E28" s="89">
        <f t="shared" si="1"/>
        <v>2477.1276810870486</v>
      </c>
      <c r="F28" s="89">
        <f t="shared" si="1"/>
        <v>2597.417704060737</v>
      </c>
      <c r="G28" s="89">
        <f t="shared" si="1"/>
        <v>2137.8679008949994</v>
      </c>
      <c r="H28" s="89">
        <f t="shared" si="1"/>
        <v>1901.7048589208491</v>
      </c>
      <c r="I28" s="89">
        <f t="shared" si="1"/>
        <v>1409.3925627162898</v>
      </c>
      <c r="J28" s="89">
        <f t="shared" si="1"/>
        <v>800.1008867957779</v>
      </c>
      <c r="K28" s="90">
        <f t="shared" si="1"/>
        <v>306.5137514749506</v>
      </c>
    </row>
    <row r="29" spans="1:11" ht="12.75" thickBot="1">
      <c r="A29" s="63" t="s">
        <v>35</v>
      </c>
      <c r="B29" s="91">
        <f>$B$14*B26</f>
        <v>385.0680886715552</v>
      </c>
      <c r="C29" s="91">
        <f aca="true" t="shared" si="2" ref="C29:K29">$B$14*C26</f>
        <v>1453.4098337087382</v>
      </c>
      <c r="D29" s="91">
        <f t="shared" si="2"/>
        <v>3369.874654049349</v>
      </c>
      <c r="E29" s="91">
        <f t="shared" si="2"/>
        <v>5847.002335136397</v>
      </c>
      <c r="F29" s="91">
        <f t="shared" si="2"/>
        <v>8444.420039197134</v>
      </c>
      <c r="G29" s="91">
        <f t="shared" si="2"/>
        <v>10582.287940092134</v>
      </c>
      <c r="H29" s="91">
        <f t="shared" si="2"/>
        <v>12483.992799012982</v>
      </c>
      <c r="I29" s="91">
        <f t="shared" si="2"/>
        <v>13893.385361729272</v>
      </c>
      <c r="J29" s="91">
        <f t="shared" si="2"/>
        <v>14693.48624852505</v>
      </c>
      <c r="K29" s="92">
        <f t="shared" si="2"/>
        <v>15000</v>
      </c>
    </row>
    <row r="30" spans="1:11" ht="6.75" customHeight="1" thickBot="1">
      <c r="A30" s="66"/>
      <c r="B30" s="93"/>
      <c r="C30" s="93"/>
      <c r="D30" s="93"/>
      <c r="E30" s="93"/>
      <c r="F30" s="93"/>
      <c r="G30" s="93"/>
      <c r="H30" s="93"/>
      <c r="I30" s="93"/>
      <c r="J30" s="93"/>
      <c r="K30" s="94"/>
    </row>
    <row r="31" spans="1:11" ht="12">
      <c r="A31" s="59" t="s">
        <v>37</v>
      </c>
      <c r="B31" s="95">
        <f>$B$15*B25</f>
        <v>0.08371045405903373</v>
      </c>
      <c r="C31" s="95">
        <f aca="true" t="shared" si="3" ref="C31:K31">$B$15*C25</f>
        <v>0.2322482054428659</v>
      </c>
      <c r="D31" s="95">
        <f t="shared" si="3"/>
        <v>0.41662278703056743</v>
      </c>
      <c r="E31" s="95">
        <f t="shared" si="3"/>
        <v>0.5385060176276192</v>
      </c>
      <c r="F31" s="95">
        <f t="shared" si="3"/>
        <v>0.5646560226218993</v>
      </c>
      <c r="G31" s="95">
        <f t="shared" si="3"/>
        <v>0.46475389149891283</v>
      </c>
      <c r="H31" s="95">
        <f t="shared" si="3"/>
        <v>0.41341409976540194</v>
      </c>
      <c r="I31" s="95">
        <f t="shared" si="3"/>
        <v>0.3063896875470195</v>
      </c>
      <c r="J31" s="95">
        <f t="shared" si="3"/>
        <v>0.1739349753903865</v>
      </c>
      <c r="K31" s="96">
        <f t="shared" si="3"/>
        <v>0.0666334242336849</v>
      </c>
    </row>
    <row r="32" spans="1:11" ht="12.75" thickBot="1">
      <c r="A32" s="63" t="s">
        <v>35</v>
      </c>
      <c r="B32" s="97">
        <f>$B$15*B26</f>
        <v>0.08371045405903373</v>
      </c>
      <c r="C32" s="97">
        <f aca="true" t="shared" si="4" ref="C32:K32">$B$15*C26</f>
        <v>0.3159586595018996</v>
      </c>
      <c r="D32" s="97">
        <f t="shared" si="4"/>
        <v>0.732581446532467</v>
      </c>
      <c r="E32" s="97">
        <f t="shared" si="4"/>
        <v>1.2710874641600862</v>
      </c>
      <c r="F32" s="97">
        <f t="shared" si="4"/>
        <v>1.8357434867819855</v>
      </c>
      <c r="G32" s="97">
        <f t="shared" si="4"/>
        <v>2.3004973782808986</v>
      </c>
      <c r="H32" s="97">
        <f t="shared" si="4"/>
        <v>2.7139114780463003</v>
      </c>
      <c r="I32" s="97">
        <f t="shared" si="4"/>
        <v>3.02030116559332</v>
      </c>
      <c r="J32" s="97">
        <f t="shared" si="4"/>
        <v>3.1942361409837066</v>
      </c>
      <c r="K32" s="98">
        <f t="shared" si="4"/>
        <v>3.260869565217391</v>
      </c>
    </row>
    <row r="33" spans="1:11" ht="6.75" customHeight="1" thickBot="1">
      <c r="A33" s="66"/>
      <c r="B33" s="99"/>
      <c r="C33" s="99"/>
      <c r="D33" s="99"/>
      <c r="E33" s="99"/>
      <c r="F33" s="99"/>
      <c r="G33" s="99"/>
      <c r="H33" s="99"/>
      <c r="I33" s="99"/>
      <c r="J33" s="99"/>
      <c r="K33" s="100"/>
    </row>
    <row r="34" spans="1:11" ht="12">
      <c r="A34" s="59" t="s">
        <v>38</v>
      </c>
      <c r="B34" s="81">
        <f>$B$16*B25</f>
        <v>0.11886884476382789</v>
      </c>
      <c r="C34" s="81">
        <f aca="true" t="shared" si="5" ref="C34:K34">$B$16*C25</f>
        <v>0.32979245172886956</v>
      </c>
      <c r="D34" s="81">
        <f t="shared" si="5"/>
        <v>0.5916043575834057</v>
      </c>
      <c r="E34" s="81">
        <f t="shared" si="5"/>
        <v>0.7646785450312192</v>
      </c>
      <c r="F34" s="81">
        <f t="shared" si="5"/>
        <v>0.801811552123097</v>
      </c>
      <c r="G34" s="81">
        <f t="shared" si="5"/>
        <v>0.6599505259284563</v>
      </c>
      <c r="H34" s="81">
        <f t="shared" si="5"/>
        <v>0.5870480216668708</v>
      </c>
      <c r="I34" s="81">
        <f t="shared" si="5"/>
        <v>0.43507335631676775</v>
      </c>
      <c r="J34" s="81">
        <f t="shared" si="5"/>
        <v>0.24698766505434883</v>
      </c>
      <c r="K34" s="82">
        <f t="shared" si="5"/>
        <v>0.09461946241183257</v>
      </c>
    </row>
    <row r="35" spans="1:11" ht="12.75" thickBot="1">
      <c r="A35" s="63" t="s">
        <v>35</v>
      </c>
      <c r="B35" s="83">
        <f>$B$16*B26</f>
        <v>0.11886884476382789</v>
      </c>
      <c r="C35" s="83">
        <f aca="true" t="shared" si="6" ref="C35:K35">$B$16*C26</f>
        <v>0.4486612964926974</v>
      </c>
      <c r="D35" s="83">
        <f t="shared" si="6"/>
        <v>1.0402656540761033</v>
      </c>
      <c r="E35" s="83">
        <f t="shared" si="6"/>
        <v>1.8049441991073225</v>
      </c>
      <c r="F35" s="83">
        <f t="shared" si="6"/>
        <v>2.6067557512304194</v>
      </c>
      <c r="G35" s="83">
        <f t="shared" si="6"/>
        <v>3.2667062771588755</v>
      </c>
      <c r="H35" s="83">
        <f t="shared" si="6"/>
        <v>3.8537542988257463</v>
      </c>
      <c r="I35" s="83">
        <f t="shared" si="6"/>
        <v>4.288827655142514</v>
      </c>
      <c r="J35" s="83">
        <f t="shared" si="6"/>
        <v>4.535815320196863</v>
      </c>
      <c r="K35" s="84">
        <f t="shared" si="6"/>
        <v>4.630434782608695</v>
      </c>
    </row>
  </sheetData>
  <sheetProtection sheet="1" objects="1" scenarios="1"/>
  <mergeCells count="7">
    <mergeCell ref="A13:B13"/>
    <mergeCell ref="A1:J1"/>
    <mergeCell ref="A18:B18"/>
    <mergeCell ref="A23:K23"/>
    <mergeCell ref="D18:E18"/>
    <mergeCell ref="G18:H18"/>
    <mergeCell ref="G19:H19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4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workbookViewId="0" topLeftCell="A1">
      <selection activeCell="D15" sqref="D15"/>
    </sheetView>
  </sheetViews>
  <sheetFormatPr defaultColWidth="11.00390625" defaultRowHeight="12.75"/>
  <cols>
    <col min="1" max="1" width="19.625" style="18" customWidth="1"/>
    <col min="2" max="3" width="11.625" style="18" bestFit="1" customWidth="1"/>
    <col min="4" max="4" width="12.625" style="18" bestFit="1" customWidth="1"/>
    <col min="5" max="5" width="10.125" style="18" customWidth="1"/>
    <col min="6" max="6" width="10.75390625" style="18" customWidth="1"/>
    <col min="7" max="7" width="11.00390625" style="18" customWidth="1"/>
    <col min="8" max="8" width="10.125" style="18" bestFit="1" customWidth="1"/>
    <col min="9" max="9" width="10.25390625" style="18" customWidth="1"/>
    <col min="10" max="10" width="10.75390625" style="18" customWidth="1"/>
    <col min="11" max="11" width="11.25390625" style="18" customWidth="1"/>
    <col min="12" max="16384" width="10.75390625" style="18" customWidth="1"/>
  </cols>
  <sheetData>
    <row r="1" spans="1:10" ht="22.5" customHeight="1" thickBot="1">
      <c r="A1" s="222" t="s">
        <v>20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2.75">
      <c r="A2" s="19" t="s">
        <v>142</v>
      </c>
      <c r="B2" s="20">
        <f>Besoins!C3</f>
        <v>15000</v>
      </c>
      <c r="C2" s="21" t="s">
        <v>60</v>
      </c>
      <c r="D2" s="22" t="s">
        <v>150</v>
      </c>
      <c r="E2" s="22"/>
      <c r="F2" s="22"/>
      <c r="G2" s="22"/>
      <c r="H2" s="22"/>
      <c r="I2" s="22"/>
      <c r="J2" s="23"/>
    </row>
    <row r="3" spans="1:10" ht="12.75">
      <c r="A3" s="24" t="s">
        <v>146</v>
      </c>
      <c r="B3" s="25" t="s">
        <v>180</v>
      </c>
      <c r="C3" s="26"/>
      <c r="D3" s="27"/>
      <c r="E3" s="27"/>
      <c r="F3" s="27"/>
      <c r="G3" s="27"/>
      <c r="H3" s="27"/>
      <c r="I3" s="27"/>
      <c r="J3" s="28"/>
    </row>
    <row r="4" spans="1:10" ht="12.75">
      <c r="A4" s="24" t="s">
        <v>33</v>
      </c>
      <c r="B4" s="29">
        <v>3500</v>
      </c>
      <c r="C4" s="26" t="s">
        <v>60</v>
      </c>
      <c r="D4" s="27" t="s">
        <v>87</v>
      </c>
      <c r="E4" s="27"/>
      <c r="F4" s="27"/>
      <c r="G4" s="27"/>
      <c r="H4" s="27"/>
      <c r="I4" s="27"/>
      <c r="J4" s="28"/>
    </row>
    <row r="5" spans="1:10" ht="13.5" thickBot="1">
      <c r="A5" s="30" t="s">
        <v>141</v>
      </c>
      <c r="B5" s="31">
        <v>4</v>
      </c>
      <c r="C5" s="32" t="s">
        <v>39</v>
      </c>
      <c r="D5" s="33" t="s">
        <v>89</v>
      </c>
      <c r="E5" s="33"/>
      <c r="F5" s="33"/>
      <c r="G5" s="33"/>
      <c r="H5" s="33"/>
      <c r="I5" s="33"/>
      <c r="J5" s="34"/>
    </row>
    <row r="6" spans="1:3" ht="12.75">
      <c r="A6" s="35"/>
      <c r="B6" s="36"/>
      <c r="C6" s="1"/>
    </row>
    <row r="9" spans="1:3" ht="13.5" thickBot="1">
      <c r="A9" s="35"/>
      <c r="B9" s="36"/>
      <c r="C9" s="1"/>
    </row>
    <row r="10" spans="1:10" ht="13.5" thickBot="1">
      <c r="A10" s="39" t="s">
        <v>40</v>
      </c>
      <c r="B10" s="40">
        <v>0.8</v>
      </c>
      <c r="C10" s="41" t="s">
        <v>21</v>
      </c>
      <c r="D10" s="41"/>
      <c r="E10" s="41"/>
      <c r="F10" s="41"/>
      <c r="G10" s="41"/>
      <c r="H10" s="41"/>
      <c r="I10" s="41"/>
      <c r="J10" s="42"/>
    </row>
    <row r="11" spans="1:3" ht="12.75">
      <c r="A11" s="35"/>
      <c r="B11" s="43"/>
      <c r="C11" s="1"/>
    </row>
    <row r="12" spans="1:3" ht="13.5" thickBot="1">
      <c r="A12" s="35"/>
      <c r="B12" s="36"/>
      <c r="C12" s="1"/>
    </row>
    <row r="13" spans="1:3" ht="13.5" thickBot="1">
      <c r="A13" s="209" t="s">
        <v>16</v>
      </c>
      <c r="B13" s="221"/>
      <c r="C13" s="1"/>
    </row>
    <row r="14" spans="1:3" ht="12.75">
      <c r="A14" s="24" t="s">
        <v>145</v>
      </c>
      <c r="B14" s="45">
        <f>B2/B10</f>
        <v>18750</v>
      </c>
      <c r="C14" s="1"/>
    </row>
    <row r="15" spans="1:3" ht="12.75">
      <c r="A15" s="24" t="s">
        <v>146</v>
      </c>
      <c r="B15" s="101">
        <f>B14/B4</f>
        <v>5.357142857142857</v>
      </c>
      <c r="C15" s="1"/>
    </row>
    <row r="16" spans="1:3" ht="13.5" thickBot="1">
      <c r="A16" s="30" t="s">
        <v>147</v>
      </c>
      <c r="B16" s="102">
        <f>B15*B5</f>
        <v>21.428571428571427</v>
      </c>
      <c r="C16" s="1"/>
    </row>
    <row r="17" spans="1:3" ht="13.5" thickBot="1">
      <c r="A17" s="35"/>
      <c r="B17" s="36"/>
      <c r="C17" s="1"/>
    </row>
    <row r="18" spans="1:8" ht="13.5" thickBot="1">
      <c r="A18" s="209" t="s">
        <v>148</v>
      </c>
      <c r="B18" s="224"/>
      <c r="C18" s="88"/>
      <c r="D18" s="41"/>
      <c r="E18" s="41"/>
      <c r="F18" s="41"/>
      <c r="G18" s="41"/>
      <c r="H18" s="42"/>
    </row>
    <row r="19" spans="1:8" ht="12.75">
      <c r="A19" s="24" t="s">
        <v>182</v>
      </c>
      <c r="B19" s="48">
        <v>120</v>
      </c>
      <c r="C19" s="26"/>
      <c r="D19" s="27"/>
      <c r="E19" s="27"/>
      <c r="F19" s="27"/>
      <c r="G19" s="27"/>
      <c r="H19" s="28"/>
    </row>
    <row r="20" spans="1:8" ht="12.75">
      <c r="A20" s="24" t="s">
        <v>48</v>
      </c>
      <c r="B20" s="50">
        <f>B19/B4</f>
        <v>0.03428571428571429</v>
      </c>
      <c r="C20" s="26"/>
      <c r="D20" s="27"/>
      <c r="E20" s="27"/>
      <c r="F20" s="27"/>
      <c r="G20" s="27"/>
      <c r="H20" s="28"/>
    </row>
    <row r="21" spans="1:8" ht="13.5" thickBot="1">
      <c r="A21" s="30" t="s">
        <v>181</v>
      </c>
      <c r="B21" s="52">
        <f>B15*B19</f>
        <v>642.8571428571428</v>
      </c>
      <c r="C21" s="32"/>
      <c r="D21" s="33"/>
      <c r="E21" s="33"/>
      <c r="F21" s="33"/>
      <c r="G21" s="33"/>
      <c r="H21" s="34"/>
    </row>
    <row r="22" spans="1:3" ht="12.75">
      <c r="A22" s="35"/>
      <c r="B22" s="54"/>
      <c r="C22" s="1"/>
    </row>
    <row r="23" spans="1:11" ht="13.5" thickBot="1">
      <c r="A23" s="225" t="s">
        <v>149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</row>
    <row r="24" spans="1:12" ht="12.75" thickBot="1">
      <c r="A24" s="55"/>
      <c r="B24" s="56" t="s">
        <v>22</v>
      </c>
      <c r="C24" s="56" t="s">
        <v>23</v>
      </c>
      <c r="D24" s="56" t="s">
        <v>24</v>
      </c>
      <c r="E24" s="56" t="s">
        <v>25</v>
      </c>
      <c r="F24" s="56" t="s">
        <v>26</v>
      </c>
      <c r="G24" s="56" t="s">
        <v>27</v>
      </c>
      <c r="H24" s="56" t="s">
        <v>29</v>
      </c>
      <c r="I24" s="56" t="s">
        <v>30</v>
      </c>
      <c r="J24" s="56" t="s">
        <v>31</v>
      </c>
      <c r="K24" s="57" t="s">
        <v>32</v>
      </c>
      <c r="L24" s="58"/>
    </row>
    <row r="25" spans="1:12" ht="12">
      <c r="A25" s="59" t="s">
        <v>34</v>
      </c>
      <c r="B25" s="60">
        <v>0.02567120591143701</v>
      </c>
      <c r="C25" s="60">
        <v>0.07122278300247888</v>
      </c>
      <c r="D25" s="60">
        <v>0.12776432135604068</v>
      </c>
      <c r="E25" s="60">
        <v>0.16514184540580323</v>
      </c>
      <c r="F25" s="60">
        <v>0.17316118027071578</v>
      </c>
      <c r="G25" s="60">
        <v>0.14252452672633328</v>
      </c>
      <c r="H25" s="60">
        <v>0.1267803239280566</v>
      </c>
      <c r="I25" s="60">
        <v>0.09395950418108599</v>
      </c>
      <c r="J25" s="60">
        <v>0.05334005911971853</v>
      </c>
      <c r="K25" s="61">
        <v>0.02043425009833004</v>
      </c>
      <c r="L25" s="62">
        <f>SUM(B25:K25)</f>
        <v>1</v>
      </c>
    </row>
    <row r="26" spans="1:12" ht="12.75" thickBot="1">
      <c r="A26" s="63" t="s">
        <v>35</v>
      </c>
      <c r="B26" s="64">
        <f>B25</f>
        <v>0.02567120591143701</v>
      </c>
      <c r="C26" s="64">
        <f>C25+B26</f>
        <v>0.09689398891391589</v>
      </c>
      <c r="D26" s="64">
        <f aca="true" t="shared" si="0" ref="D26:K26">D25+C26</f>
        <v>0.22465831026995658</v>
      </c>
      <c r="E26" s="64">
        <f t="shared" si="0"/>
        <v>0.3898001556757598</v>
      </c>
      <c r="F26" s="64">
        <f t="shared" si="0"/>
        <v>0.5629613359464756</v>
      </c>
      <c r="G26" s="64">
        <f t="shared" si="0"/>
        <v>0.7054858626728089</v>
      </c>
      <c r="H26" s="64">
        <f t="shared" si="0"/>
        <v>0.8322661866008655</v>
      </c>
      <c r="I26" s="64">
        <f t="shared" si="0"/>
        <v>0.9262256907819515</v>
      </c>
      <c r="J26" s="64">
        <f t="shared" si="0"/>
        <v>0.97956574990167</v>
      </c>
      <c r="K26" s="65">
        <f t="shared" si="0"/>
        <v>1</v>
      </c>
      <c r="L26" s="58"/>
    </row>
    <row r="27" spans="1:11" ht="6" customHeight="1" thickBot="1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8"/>
    </row>
    <row r="28" spans="1:11" ht="12">
      <c r="A28" s="59" t="s">
        <v>36</v>
      </c>
      <c r="B28" s="69">
        <f>$B$14*B25</f>
        <v>481.335110839444</v>
      </c>
      <c r="C28" s="69">
        <f aca="true" t="shared" si="1" ref="C28:K28">$B$14*C25</f>
        <v>1335.427181296479</v>
      </c>
      <c r="D28" s="69">
        <f t="shared" si="1"/>
        <v>2395.5810254257626</v>
      </c>
      <c r="E28" s="69">
        <f t="shared" si="1"/>
        <v>3096.4096013588105</v>
      </c>
      <c r="F28" s="69">
        <f t="shared" si="1"/>
        <v>3246.772130075921</v>
      </c>
      <c r="G28" s="69">
        <f t="shared" si="1"/>
        <v>2672.334876118749</v>
      </c>
      <c r="H28" s="69">
        <f t="shared" si="1"/>
        <v>2377.1310736510613</v>
      </c>
      <c r="I28" s="69">
        <f t="shared" si="1"/>
        <v>1761.7407033953623</v>
      </c>
      <c r="J28" s="69">
        <f t="shared" si="1"/>
        <v>1000.1261084947224</v>
      </c>
      <c r="K28" s="70">
        <f t="shared" si="1"/>
        <v>383.14218934368824</v>
      </c>
    </row>
    <row r="29" spans="1:11" ht="12.75" thickBot="1">
      <c r="A29" s="63" t="s">
        <v>35</v>
      </c>
      <c r="B29" s="71">
        <f>$B$14*B26</f>
        <v>481.335110839444</v>
      </c>
      <c r="C29" s="71">
        <f aca="true" t="shared" si="2" ref="C29:K29">$B$14*C26</f>
        <v>1816.762292135923</v>
      </c>
      <c r="D29" s="71">
        <f t="shared" si="2"/>
        <v>4212.343317561686</v>
      </c>
      <c r="E29" s="71">
        <f t="shared" si="2"/>
        <v>7308.752918920497</v>
      </c>
      <c r="F29" s="71">
        <f t="shared" si="2"/>
        <v>10555.525048996416</v>
      </c>
      <c r="G29" s="71">
        <f t="shared" si="2"/>
        <v>13227.859925115166</v>
      </c>
      <c r="H29" s="71">
        <f t="shared" si="2"/>
        <v>15604.990998766229</v>
      </c>
      <c r="I29" s="71">
        <f t="shared" si="2"/>
        <v>17366.73170216159</v>
      </c>
      <c r="J29" s="71">
        <f t="shared" si="2"/>
        <v>18366.85781065631</v>
      </c>
      <c r="K29" s="72">
        <f t="shared" si="2"/>
        <v>18750</v>
      </c>
    </row>
    <row r="30" spans="1:11" ht="6.75" customHeight="1" thickBot="1">
      <c r="A30" s="66"/>
      <c r="B30" s="73"/>
      <c r="C30" s="73"/>
      <c r="D30" s="73"/>
      <c r="E30" s="73"/>
      <c r="F30" s="73"/>
      <c r="G30" s="73"/>
      <c r="H30" s="73"/>
      <c r="I30" s="73"/>
      <c r="J30" s="73"/>
      <c r="K30" s="74"/>
    </row>
    <row r="31" spans="1:11" ht="12">
      <c r="A31" s="59" t="s">
        <v>37</v>
      </c>
      <c r="B31" s="95">
        <f>$B$15*B25</f>
        <v>0.13752431738269827</v>
      </c>
      <c r="C31" s="95">
        <f aca="true" t="shared" si="3" ref="C31:K31">$B$15*C25</f>
        <v>0.3815506232275654</v>
      </c>
      <c r="D31" s="95">
        <f t="shared" si="3"/>
        <v>0.6844517215502179</v>
      </c>
      <c r="E31" s="95">
        <f t="shared" si="3"/>
        <v>0.8846884575310887</v>
      </c>
      <c r="F31" s="95">
        <f t="shared" si="3"/>
        <v>0.9276491800216916</v>
      </c>
      <c r="G31" s="95">
        <f t="shared" si="3"/>
        <v>0.7635242503196426</v>
      </c>
      <c r="H31" s="95">
        <f t="shared" si="3"/>
        <v>0.679180306757446</v>
      </c>
      <c r="I31" s="95">
        <f t="shared" si="3"/>
        <v>0.5033544866843892</v>
      </c>
      <c r="J31" s="95">
        <f t="shared" si="3"/>
        <v>0.28575031671277784</v>
      </c>
      <c r="K31" s="96">
        <f t="shared" si="3"/>
        <v>0.10946919695533949</v>
      </c>
    </row>
    <row r="32" spans="1:11" ht="12.75" thickBot="1">
      <c r="A32" s="63" t="s">
        <v>35</v>
      </c>
      <c r="B32" s="97">
        <f>$B$15*B26</f>
        <v>0.13752431738269827</v>
      </c>
      <c r="C32" s="97">
        <f aca="true" t="shared" si="4" ref="C32:K32">$B$15*C26</f>
        <v>0.5190749406102636</v>
      </c>
      <c r="D32" s="97">
        <f t="shared" si="4"/>
        <v>1.2035266621604817</v>
      </c>
      <c r="E32" s="97">
        <f t="shared" si="4"/>
        <v>2.0882151196915704</v>
      </c>
      <c r="F32" s="97">
        <f t="shared" si="4"/>
        <v>3.015864299713262</v>
      </c>
      <c r="G32" s="97">
        <f t="shared" si="4"/>
        <v>3.7793885500329045</v>
      </c>
      <c r="H32" s="97">
        <f t="shared" si="4"/>
        <v>4.45856885679035</v>
      </c>
      <c r="I32" s="97">
        <f t="shared" si="4"/>
        <v>4.96192334347474</v>
      </c>
      <c r="J32" s="97">
        <f t="shared" si="4"/>
        <v>5.247673660187518</v>
      </c>
      <c r="K32" s="98">
        <f t="shared" si="4"/>
        <v>5.357142857142857</v>
      </c>
    </row>
    <row r="33" spans="1:11" ht="6.75" customHeight="1" thickBot="1">
      <c r="A33" s="66"/>
      <c r="B33" s="99"/>
      <c r="C33" s="99"/>
      <c r="D33" s="99"/>
      <c r="E33" s="99"/>
      <c r="F33" s="99"/>
      <c r="G33" s="99"/>
      <c r="H33" s="99"/>
      <c r="I33" s="99"/>
      <c r="J33" s="99"/>
      <c r="K33" s="100"/>
    </row>
    <row r="34" spans="1:11" ht="12">
      <c r="A34" s="59" t="s">
        <v>38</v>
      </c>
      <c r="B34" s="81">
        <f>$B$16*B25</f>
        <v>0.5500972695307931</v>
      </c>
      <c r="C34" s="81">
        <f aca="true" t="shared" si="5" ref="C34:K34">$B$16*C25</f>
        <v>1.5262024929102616</v>
      </c>
      <c r="D34" s="81">
        <f t="shared" si="5"/>
        <v>2.7378068862008718</v>
      </c>
      <c r="E34" s="81">
        <f t="shared" si="5"/>
        <v>3.538753830124355</v>
      </c>
      <c r="F34" s="81">
        <f t="shared" si="5"/>
        <v>3.7105967200867664</v>
      </c>
      <c r="G34" s="81">
        <f t="shared" si="5"/>
        <v>3.05409700127857</v>
      </c>
      <c r="H34" s="81">
        <f t="shared" si="5"/>
        <v>2.716721227029784</v>
      </c>
      <c r="I34" s="81">
        <f t="shared" si="5"/>
        <v>2.013417946737557</v>
      </c>
      <c r="J34" s="81">
        <f t="shared" si="5"/>
        <v>1.1430012668511114</v>
      </c>
      <c r="K34" s="82">
        <f t="shared" si="5"/>
        <v>0.43787678782135797</v>
      </c>
    </row>
    <row r="35" spans="1:11" ht="12.75" thickBot="1">
      <c r="A35" s="63" t="s">
        <v>35</v>
      </c>
      <c r="B35" s="83">
        <f>$B$16*B26</f>
        <v>0.5500972695307931</v>
      </c>
      <c r="C35" s="83">
        <f aca="true" t="shared" si="6" ref="C35:K35">$B$16*C26</f>
        <v>2.0762997624410544</v>
      </c>
      <c r="D35" s="83">
        <f t="shared" si="6"/>
        <v>4.814106648641927</v>
      </c>
      <c r="E35" s="83">
        <f t="shared" si="6"/>
        <v>8.352860478766281</v>
      </c>
      <c r="F35" s="83">
        <f t="shared" si="6"/>
        <v>12.063457198853047</v>
      </c>
      <c r="G35" s="83">
        <f t="shared" si="6"/>
        <v>15.117554200131618</v>
      </c>
      <c r="H35" s="83">
        <f t="shared" si="6"/>
        <v>17.8342754271614</v>
      </c>
      <c r="I35" s="83">
        <f t="shared" si="6"/>
        <v>19.84769337389896</v>
      </c>
      <c r="J35" s="83">
        <f t="shared" si="6"/>
        <v>20.99069464075007</v>
      </c>
      <c r="K35" s="84">
        <f t="shared" si="6"/>
        <v>21.428571428571427</v>
      </c>
    </row>
  </sheetData>
  <sheetProtection sheet="1" objects="1" scenarios="1"/>
  <mergeCells count="4">
    <mergeCell ref="A18:B18"/>
    <mergeCell ref="A23:K23"/>
    <mergeCell ref="A13:B13"/>
    <mergeCell ref="A1:J1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showGridLines="0" workbookViewId="0" topLeftCell="A1">
      <selection activeCell="H22" sqref="H22:H23"/>
    </sheetView>
  </sheetViews>
  <sheetFormatPr defaultColWidth="11.00390625" defaultRowHeight="12.75"/>
  <cols>
    <col min="1" max="1" width="7.875" style="18" customWidth="1"/>
    <col min="2" max="2" width="15.125" style="18" customWidth="1"/>
    <col min="3" max="3" width="14.25390625" style="18" customWidth="1"/>
    <col min="4" max="4" width="10.75390625" style="18" customWidth="1"/>
    <col min="5" max="7" width="14.25390625" style="18" bestFit="1" customWidth="1"/>
    <col min="8" max="16384" width="10.75390625" style="18" customWidth="1"/>
  </cols>
  <sheetData>
    <row r="1" ht="13.5" thickBot="1"/>
    <row r="2" spans="1:9" ht="24" customHeight="1" thickBot="1">
      <c r="A2" s="230" t="s">
        <v>90</v>
      </c>
      <c r="B2" s="231"/>
      <c r="C2" s="231"/>
      <c r="D2" s="231"/>
      <c r="E2" s="231"/>
      <c r="F2" s="231"/>
      <c r="G2" s="231"/>
      <c r="H2" s="231"/>
      <c r="I2" s="232"/>
    </row>
    <row r="3" spans="1:9" ht="21" customHeight="1">
      <c r="A3" s="103"/>
      <c r="B3" s="104" t="s">
        <v>183</v>
      </c>
      <c r="C3" s="104" t="s">
        <v>184</v>
      </c>
      <c r="D3" s="104" t="s">
        <v>78</v>
      </c>
      <c r="E3" s="104" t="s">
        <v>185</v>
      </c>
      <c r="F3" s="104" t="s">
        <v>161</v>
      </c>
      <c r="G3" s="104" t="s">
        <v>158</v>
      </c>
      <c r="H3" s="104" t="s">
        <v>159</v>
      </c>
      <c r="I3" s="105" t="s">
        <v>160</v>
      </c>
    </row>
    <row r="4" spans="1:9" ht="21" customHeight="1">
      <c r="A4" s="106">
        <v>1</v>
      </c>
      <c r="B4" s="107" t="s">
        <v>133</v>
      </c>
      <c r="C4" s="108">
        <f>Bûches!B10</f>
        <v>0.6</v>
      </c>
      <c r="D4" s="108">
        <f>Bûches!B7</f>
        <v>0.8</v>
      </c>
      <c r="E4" s="109">
        <f>Bûches!B20</f>
        <v>0.03125</v>
      </c>
      <c r="F4" s="110">
        <f>Bûches!B14</f>
        <v>20000</v>
      </c>
      <c r="G4" s="111">
        <f>Bûches!B21</f>
        <v>625</v>
      </c>
      <c r="H4" s="111">
        <f>Bûches!E21</f>
        <v>347.36842105263156</v>
      </c>
      <c r="I4" s="112">
        <f>Bûches!G19</f>
        <v>972.3684210526316</v>
      </c>
    </row>
    <row r="5" spans="1:9" ht="21" customHeight="1">
      <c r="A5" s="106">
        <v>2</v>
      </c>
      <c r="B5" s="107" t="s">
        <v>134</v>
      </c>
      <c r="C5" s="108">
        <f>Granulés!B10</f>
        <v>0.8</v>
      </c>
      <c r="D5" s="108">
        <f>Granulés!B7</f>
        <v>0.8</v>
      </c>
      <c r="E5" s="109">
        <f>Granulés!B20</f>
        <v>0.05434782608695652</v>
      </c>
      <c r="F5" s="110">
        <f>Granulés!B14</f>
        <v>15000</v>
      </c>
      <c r="G5" s="111">
        <f>Granulés!B21</f>
        <v>815.2173913043478</v>
      </c>
      <c r="H5" s="111">
        <f>Granulés!E21</f>
        <v>347.36842105263156</v>
      </c>
      <c r="I5" s="112">
        <f>Granulés!G19</f>
        <v>1162.5858123569792</v>
      </c>
    </row>
    <row r="6" spans="1:9" ht="21" customHeight="1" thickBot="1">
      <c r="A6" s="113">
        <v>3</v>
      </c>
      <c r="B6" s="114" t="s">
        <v>135</v>
      </c>
      <c r="C6" s="115">
        <f>Plaquettes!B10</f>
        <v>0.8</v>
      </c>
      <c r="D6" s="116"/>
      <c r="E6" s="117">
        <f>Plaquettes!B20</f>
        <v>0.03428571428571429</v>
      </c>
      <c r="F6" s="118">
        <f>Plaquettes!B14</f>
        <v>18750</v>
      </c>
      <c r="G6" s="119">
        <f>Plaquettes!B21</f>
        <v>642.8571428571428</v>
      </c>
      <c r="H6" s="119"/>
      <c r="I6" s="120">
        <f>G6</f>
        <v>642.8571428571428</v>
      </c>
    </row>
    <row r="7" spans="1:8" ht="21" customHeight="1" thickBot="1">
      <c r="A7" s="230" t="s">
        <v>91</v>
      </c>
      <c r="B7" s="240"/>
      <c r="C7" s="240"/>
      <c r="D7" s="240"/>
      <c r="E7" s="240"/>
      <c r="F7" s="240"/>
      <c r="G7" s="158"/>
      <c r="H7" s="121"/>
    </row>
    <row r="8" spans="1:7" ht="21" customHeight="1">
      <c r="A8" s="122"/>
      <c r="B8" s="123" t="s">
        <v>92</v>
      </c>
      <c r="C8" s="123" t="s">
        <v>184</v>
      </c>
      <c r="D8" s="123" t="s">
        <v>185</v>
      </c>
      <c r="E8" s="123" t="s">
        <v>41</v>
      </c>
      <c r="F8" s="123" t="s">
        <v>186</v>
      </c>
      <c r="G8" s="124" t="s">
        <v>47</v>
      </c>
    </row>
    <row r="9" spans="1:7" ht="21" customHeight="1">
      <c r="A9" s="106">
        <v>1</v>
      </c>
      <c r="B9" s="107" t="s">
        <v>136</v>
      </c>
      <c r="C9" s="125">
        <v>0.8</v>
      </c>
      <c r="D9" s="126">
        <v>0.065</v>
      </c>
      <c r="E9" s="127">
        <v>301</v>
      </c>
      <c r="F9" s="110">
        <f>Besoins!$C$3/C9</f>
        <v>18750</v>
      </c>
      <c r="G9" s="112">
        <f>F9*D9</f>
        <v>1218.75</v>
      </c>
    </row>
    <row r="10" spans="1:7" ht="21" customHeight="1">
      <c r="A10" s="106">
        <v>2</v>
      </c>
      <c r="B10" s="107" t="s">
        <v>137</v>
      </c>
      <c r="C10" s="125">
        <v>0.85</v>
      </c>
      <c r="D10" s="126">
        <v>0.105</v>
      </c>
      <c r="E10" s="127">
        <v>271</v>
      </c>
      <c r="F10" s="110">
        <f>Besoins!$C$3/C10</f>
        <v>17647.058823529413</v>
      </c>
      <c r="G10" s="112">
        <f>F10*D10</f>
        <v>1852.9411764705883</v>
      </c>
    </row>
    <row r="11" spans="1:7" ht="21" customHeight="1">
      <c r="A11" s="106">
        <v>3</v>
      </c>
      <c r="B11" s="107" t="s">
        <v>138</v>
      </c>
      <c r="C11" s="125">
        <v>0.85</v>
      </c>
      <c r="D11" s="126">
        <v>0.053</v>
      </c>
      <c r="E11" s="127">
        <v>235</v>
      </c>
      <c r="F11" s="110">
        <f>Besoins!$C$3/C11</f>
        <v>17647.058823529413</v>
      </c>
      <c r="G11" s="112">
        <f>F11*D11</f>
        <v>935.2941176470589</v>
      </c>
    </row>
    <row r="12" spans="1:7" ht="21" customHeight="1" thickBot="1">
      <c r="A12" s="113">
        <v>4</v>
      </c>
      <c r="B12" s="114" t="s">
        <v>139</v>
      </c>
      <c r="C12" s="128">
        <v>0.95</v>
      </c>
      <c r="D12" s="129">
        <v>0.11</v>
      </c>
      <c r="E12" s="130">
        <v>180</v>
      </c>
      <c r="F12" s="118">
        <f>Besoins!$C$3/C12</f>
        <v>15789.473684210527</v>
      </c>
      <c r="G12" s="120">
        <f>F12*D12</f>
        <v>1736.842105263158</v>
      </c>
    </row>
    <row r="13" spans="1:6" ht="25.5" customHeight="1">
      <c r="A13" s="244" t="s">
        <v>18</v>
      </c>
      <c r="B13" s="244"/>
      <c r="C13" s="244"/>
      <c r="D13" s="244"/>
      <c r="E13" s="244"/>
      <c r="F13" s="244"/>
    </row>
    <row r="14" ht="12.75">
      <c r="A14" s="18" t="s">
        <v>102</v>
      </c>
    </row>
    <row r="15" ht="13.5" thickBot="1"/>
    <row r="16" spans="2:7" ht="21" thickBot="1">
      <c r="B16" s="238" t="s">
        <v>28</v>
      </c>
      <c r="C16" s="239"/>
      <c r="E16" s="233" t="s">
        <v>118</v>
      </c>
      <c r="F16" s="234"/>
      <c r="G16" s="131"/>
    </row>
    <row r="17" spans="2:6" ht="12.75">
      <c r="B17" s="132"/>
      <c r="C17" s="133"/>
      <c r="E17" s="134" t="s">
        <v>119</v>
      </c>
      <c r="F17" s="135" t="s">
        <v>120</v>
      </c>
    </row>
    <row r="18" spans="2:6" ht="12.75">
      <c r="B18" s="132">
        <v>1</v>
      </c>
      <c r="C18" s="133">
        <v>1</v>
      </c>
      <c r="E18" s="156">
        <f>IF(B18=1,VLOOKUP(Bûches!E13,A9:H12,5)*(Bûches!B2*Bûches!B8)/(Bûches!E20)/1000,IF(B18=2,VLOOKUP(Granulés!E13,A9:H12,5)*(Granulés!B2*Granulés!B8)/(Granulés!E20)/1000,0))</f>
        <v>568.4210526315788</v>
      </c>
      <c r="F18" s="157">
        <f>VLOOKUP(C18,A9:H12,5)*VLOOKUP(C18,A9:H12,6)/1000</f>
        <v>5643.75</v>
      </c>
    </row>
    <row r="19" spans="2:6" ht="13.5" thickBot="1">
      <c r="B19" s="136"/>
      <c r="C19" s="137"/>
      <c r="E19" s="138">
        <f>E18/44*12</f>
        <v>155.02392344497605</v>
      </c>
      <c r="F19" s="138">
        <f>F18/44*12</f>
        <v>1539.2045454545455</v>
      </c>
    </row>
    <row r="20" spans="2:6" ht="13.5" thickBot="1">
      <c r="B20" s="132"/>
      <c r="C20" s="133"/>
      <c r="E20" s="139" t="s">
        <v>121</v>
      </c>
      <c r="F20" s="140">
        <f>F18-E18</f>
        <v>5075.328947368421</v>
      </c>
    </row>
    <row r="21" spans="2:6" ht="13.5" thickBot="1">
      <c r="B21" s="141"/>
      <c r="C21" s="28"/>
      <c r="E21" s="159" t="s">
        <v>122</v>
      </c>
      <c r="F21" s="207">
        <v>200</v>
      </c>
    </row>
    <row r="22" spans="2:6" ht="13.5" thickBot="1">
      <c r="B22" s="241" t="s">
        <v>93</v>
      </c>
      <c r="C22" s="242"/>
      <c r="E22" s="160">
        <f>E19*F21/1000</f>
        <v>31.00478468899521</v>
      </c>
      <c r="F22" s="142">
        <f>F19*F21/1000</f>
        <v>307.8409090909091</v>
      </c>
    </row>
    <row r="23" spans="2:6" ht="12.75">
      <c r="B23" s="243"/>
      <c r="C23" s="242"/>
      <c r="E23" s="235" t="s">
        <v>45</v>
      </c>
      <c r="F23" s="235"/>
    </row>
    <row r="24" spans="2:6" ht="16.5" thickBot="1">
      <c r="B24" s="143">
        <f>VLOOKUP(B18,A4:I6,9)</f>
        <v>972.3684210526316</v>
      </c>
      <c r="C24" s="144">
        <f>VLOOKUP(C18,A9:H12,7)</f>
        <v>1218.75</v>
      </c>
      <c r="E24" s="236"/>
      <c r="F24" s="236"/>
    </row>
    <row r="25" spans="2:6" ht="15.75" thickBot="1">
      <c r="B25" s="245" t="s">
        <v>42</v>
      </c>
      <c r="C25" s="246"/>
      <c r="E25" s="145"/>
      <c r="F25" s="145"/>
    </row>
    <row r="26" spans="2:6" ht="13.5" thickBot="1">
      <c r="B26" s="208">
        <v>70</v>
      </c>
      <c r="C26" s="208">
        <v>100</v>
      </c>
      <c r="D26" s="18" t="s">
        <v>43</v>
      </c>
      <c r="E26" s="145"/>
      <c r="F26" s="145"/>
    </row>
    <row r="27" ht="12.75" thickBot="1"/>
    <row r="28" spans="2:4" ht="12.75">
      <c r="B28" s="146"/>
      <c r="C28" s="147" t="s">
        <v>130</v>
      </c>
      <c r="D28" s="148">
        <f>(C24+C26)-(B24+B26)</f>
        <v>276.3815789473683</v>
      </c>
    </row>
    <row r="29" spans="2:5" ht="12.75">
      <c r="B29" s="149"/>
      <c r="C29" s="150" t="s">
        <v>113</v>
      </c>
      <c r="D29" s="151">
        <v>-2000</v>
      </c>
      <c r="E29" s="18" t="s">
        <v>44</v>
      </c>
    </row>
    <row r="30" spans="2:5" ht="12.75">
      <c r="B30" s="149"/>
      <c r="C30" s="150" t="s">
        <v>132</v>
      </c>
      <c r="D30" s="152">
        <v>15</v>
      </c>
      <c r="E30" s="18" t="s">
        <v>101</v>
      </c>
    </row>
    <row r="31" spans="2:4" ht="12.75">
      <c r="B31" s="149"/>
      <c r="C31" s="150" t="s">
        <v>140</v>
      </c>
      <c r="D31" s="153">
        <f>(D28*D30)-D29</f>
        <v>6145.723684210525</v>
      </c>
    </row>
    <row r="32" spans="2:4" ht="13.5" thickBot="1">
      <c r="B32" s="154"/>
      <c r="C32" s="155" t="s">
        <v>131</v>
      </c>
      <c r="D32" s="144">
        <f>D31/D30</f>
        <v>409.71491228070164</v>
      </c>
    </row>
    <row r="33" spans="2:4" ht="12.75">
      <c r="B33" s="237" t="s">
        <v>79</v>
      </c>
      <c r="C33" s="237"/>
      <c r="D33" s="237"/>
    </row>
  </sheetData>
  <sheetProtection sheet="1" objects="1" scenarios="1"/>
  <mergeCells count="9">
    <mergeCell ref="A2:I2"/>
    <mergeCell ref="E16:F16"/>
    <mergeCell ref="E23:F24"/>
    <mergeCell ref="B33:D33"/>
    <mergeCell ref="B16:C16"/>
    <mergeCell ref="A7:F7"/>
    <mergeCell ref="B22:C23"/>
    <mergeCell ref="A13:F13"/>
    <mergeCell ref="B25:C25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6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workbookViewId="0" topLeftCell="A1">
      <selection activeCell="G26" sqref="G26"/>
    </sheetView>
  </sheetViews>
  <sheetFormatPr defaultColWidth="11.00390625" defaultRowHeight="12.75"/>
  <cols>
    <col min="1" max="1" width="7.125" style="18" customWidth="1"/>
    <col min="2" max="2" width="18.00390625" style="18" customWidth="1"/>
    <col min="3" max="3" width="17.875" style="18" customWidth="1"/>
    <col min="4" max="4" width="13.25390625" style="18" customWidth="1"/>
    <col min="5" max="5" width="0.875" style="18" customWidth="1"/>
    <col min="6" max="6" width="10.75390625" style="18" customWidth="1"/>
    <col min="7" max="7" width="20.125" style="18" customWidth="1"/>
    <col min="8" max="16384" width="10.75390625" style="18" customWidth="1"/>
  </cols>
  <sheetData>
    <row r="1" spans="2:4" ht="18.75" thickBot="1">
      <c r="B1" s="252" t="s">
        <v>0</v>
      </c>
      <c r="C1" s="224"/>
      <c r="D1" s="221"/>
    </row>
    <row r="2" spans="2:4" ht="16.5" customHeight="1" thickBot="1">
      <c r="B2" s="247" t="s">
        <v>10</v>
      </c>
      <c r="C2" s="248"/>
      <c r="D2" s="249"/>
    </row>
    <row r="3" spans="2:5" ht="16.5" customHeight="1">
      <c r="B3" s="161" t="s">
        <v>123</v>
      </c>
      <c r="C3" s="162"/>
      <c r="D3" s="163">
        <v>1800</v>
      </c>
      <c r="E3" s="164">
        <f>D3+(D3*D7)</f>
        <v>1899</v>
      </c>
    </row>
    <row r="4" spans="2:6" ht="16.5" customHeight="1">
      <c r="B4" s="161" t="s">
        <v>129</v>
      </c>
      <c r="C4" s="162"/>
      <c r="D4" s="163">
        <v>11171</v>
      </c>
      <c r="F4" s="18" t="s">
        <v>172</v>
      </c>
    </row>
    <row r="5" spans="2:6" ht="16.5" customHeight="1">
      <c r="B5" s="161" t="s">
        <v>6</v>
      </c>
      <c r="C5" s="162"/>
      <c r="D5" s="163">
        <v>0</v>
      </c>
      <c r="F5" s="18" t="s">
        <v>173</v>
      </c>
    </row>
    <row r="6" spans="2:4" ht="16.5" customHeight="1">
      <c r="B6" s="161" t="s">
        <v>7</v>
      </c>
      <c r="C6" s="162"/>
      <c r="D6" s="165">
        <f>SUM(D3:D5)</f>
        <v>12971</v>
      </c>
    </row>
    <row r="7" spans="2:4" ht="16.5" customHeight="1">
      <c r="B7" s="161" t="s">
        <v>125</v>
      </c>
      <c r="C7" s="162"/>
      <c r="D7" s="166">
        <v>0.055</v>
      </c>
    </row>
    <row r="8" spans="2:4" ht="16.5" customHeight="1">
      <c r="B8" s="161" t="s">
        <v>124</v>
      </c>
      <c r="C8" s="162"/>
      <c r="D8" s="165">
        <f>D6+(D6*D7)</f>
        <v>13684.405</v>
      </c>
    </row>
    <row r="9" spans="2:5" ht="16.5" customHeight="1" thickBot="1">
      <c r="B9" s="161" t="s">
        <v>164</v>
      </c>
      <c r="C9" s="162"/>
      <c r="D9" s="165">
        <f>(D4*D7)+D4</f>
        <v>11785.405</v>
      </c>
      <c r="E9" s="164">
        <f>D9/(D8-E3)</f>
        <v>1</v>
      </c>
    </row>
    <row r="10" spans="2:4" ht="16.5" customHeight="1" thickBot="1">
      <c r="B10" s="247" t="s">
        <v>8</v>
      </c>
      <c r="C10" s="248"/>
      <c r="D10" s="249"/>
    </row>
    <row r="11" spans="2:4" ht="16.5" customHeight="1">
      <c r="B11" s="161" t="s">
        <v>1</v>
      </c>
      <c r="C11" s="167" t="s">
        <v>3</v>
      </c>
      <c r="D11" s="168">
        <v>0</v>
      </c>
    </row>
    <row r="12" spans="2:6" ht="16.5" customHeight="1">
      <c r="B12" s="161" t="s">
        <v>163</v>
      </c>
      <c r="C12" s="167" t="s">
        <v>4</v>
      </c>
      <c r="D12" s="163">
        <v>13000</v>
      </c>
      <c r="F12" s="18" t="s">
        <v>175</v>
      </c>
    </row>
    <row r="13" spans="2:6" ht="16.5" customHeight="1">
      <c r="B13" s="161" t="s">
        <v>2</v>
      </c>
      <c r="C13" s="167" t="s">
        <v>4</v>
      </c>
      <c r="D13" s="163"/>
      <c r="F13" s="18" t="s">
        <v>174</v>
      </c>
    </row>
    <row r="14" spans="2:4" ht="16.5" customHeight="1" thickBot="1">
      <c r="B14" s="161"/>
      <c r="C14" s="162" t="s">
        <v>5</v>
      </c>
      <c r="D14" s="169">
        <f>IF(D6&lt;D12,(D6*D11)+D13,D12*D11+D13)</f>
        <v>0</v>
      </c>
    </row>
    <row r="15" spans="2:4" ht="18.75" customHeight="1" thickBot="1">
      <c r="B15" s="247" t="s">
        <v>9</v>
      </c>
      <c r="C15" s="248"/>
      <c r="D15" s="249"/>
    </row>
    <row r="16" spans="2:5" ht="18.75" customHeight="1">
      <c r="B16" s="161" t="s">
        <v>126</v>
      </c>
      <c r="C16" s="167" t="s">
        <v>4</v>
      </c>
      <c r="D16" s="163">
        <v>3000</v>
      </c>
      <c r="E16" s="44" t="b">
        <v>0</v>
      </c>
    </row>
    <row r="17" spans="2:5" ht="18.75" customHeight="1">
      <c r="B17" s="161" t="s">
        <v>127</v>
      </c>
      <c r="C17" s="167" t="s">
        <v>4</v>
      </c>
      <c r="D17" s="163"/>
      <c r="E17" s="44" t="b">
        <v>0</v>
      </c>
    </row>
    <row r="18" spans="2:5" ht="18.75" customHeight="1">
      <c r="B18" s="161" t="s">
        <v>128</v>
      </c>
      <c r="C18" s="167" t="s">
        <v>4</v>
      </c>
      <c r="D18" s="170"/>
      <c r="E18" s="44" t="b">
        <v>0</v>
      </c>
    </row>
    <row r="19" spans="2:4" ht="16.5" customHeight="1">
      <c r="B19" s="161"/>
      <c r="C19" s="167" t="s">
        <v>11</v>
      </c>
      <c r="D19" s="165">
        <f>SUM(D16:D18)</f>
        <v>3000</v>
      </c>
    </row>
    <row r="20" spans="2:4" ht="16.5" customHeight="1">
      <c r="B20" s="161" t="s">
        <v>12</v>
      </c>
      <c r="C20" s="162"/>
      <c r="D20" s="165">
        <f>D14+D19</f>
        <v>3000</v>
      </c>
    </row>
    <row r="21" spans="2:4" ht="16.5" customHeight="1">
      <c r="B21" s="161" t="s">
        <v>13</v>
      </c>
      <c r="C21" s="162"/>
      <c r="D21" s="165">
        <f>IF(E16=TRUE,D16)+IF(E17=TRUE,D17)+IF(E18=TRUE,D18)</f>
        <v>0</v>
      </c>
    </row>
    <row r="22" spans="2:5" ht="16.5" customHeight="1" thickBot="1">
      <c r="B22" s="161" t="s">
        <v>165</v>
      </c>
      <c r="C22" s="162"/>
      <c r="D22" s="171">
        <f>IF(D21&lt;E3,D20-D21,D20-E3)</f>
        <v>3000</v>
      </c>
      <c r="E22" s="164">
        <f>D22*(D9/D8)</f>
        <v>2583.6866856834476</v>
      </c>
    </row>
    <row r="23" spans="2:5" ht="16.5" customHeight="1" thickBot="1">
      <c r="B23" s="247" t="s">
        <v>171</v>
      </c>
      <c r="C23" s="248"/>
      <c r="D23" s="249"/>
      <c r="E23" s="164"/>
    </row>
    <row r="24" spans="2:4" ht="16.5" customHeight="1">
      <c r="B24" s="161" t="s">
        <v>167</v>
      </c>
      <c r="C24" s="162"/>
      <c r="D24" s="165">
        <f>D9-E22</f>
        <v>9201.718314316553</v>
      </c>
    </row>
    <row r="25" spans="2:4" ht="16.5" customHeight="1">
      <c r="B25" s="161" t="s">
        <v>166</v>
      </c>
      <c r="C25" s="162"/>
      <c r="D25" s="163">
        <v>16000</v>
      </c>
    </row>
    <row r="26" spans="2:4" ht="16.5" customHeight="1">
      <c r="B26" s="161" t="s">
        <v>168</v>
      </c>
      <c r="C26" s="162"/>
      <c r="D26" s="168">
        <v>0.5</v>
      </c>
    </row>
    <row r="27" spans="2:4" ht="16.5" customHeight="1" thickBot="1">
      <c r="B27" s="161" t="s">
        <v>169</v>
      </c>
      <c r="C27" s="162"/>
      <c r="D27" s="165">
        <f>IF(D24&lt;D25,D24*D26,D25*D26)</f>
        <v>4600.8591571582765</v>
      </c>
    </row>
    <row r="28" spans="2:4" ht="18.75" customHeight="1" thickBot="1">
      <c r="B28" s="172" t="s">
        <v>170</v>
      </c>
      <c r="C28" s="173"/>
      <c r="D28" s="174">
        <f>D8-D20-D27</f>
        <v>6083.545842841724</v>
      </c>
    </row>
    <row r="29" spans="1:4" ht="27" customHeight="1">
      <c r="A29" s="175"/>
      <c r="B29" s="250" t="s">
        <v>176</v>
      </c>
      <c r="C29" s="251"/>
      <c r="D29" s="251"/>
    </row>
  </sheetData>
  <sheetProtection sheet="1" objects="1" scenarios="1"/>
  <mergeCells count="6">
    <mergeCell ref="B23:D23"/>
    <mergeCell ref="B29:D29"/>
    <mergeCell ref="B1:D1"/>
    <mergeCell ref="B2:D2"/>
    <mergeCell ref="B10:D10"/>
    <mergeCell ref="B15:D15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78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K65"/>
  <sheetViews>
    <sheetView showGridLines="0" showRowColHeaders="0" showOutlineSymbols="0" workbookViewId="0" topLeftCell="A1">
      <selection activeCell="H4" sqref="H4"/>
    </sheetView>
  </sheetViews>
  <sheetFormatPr defaultColWidth="11.00390625" defaultRowHeight="12.75"/>
  <cols>
    <col min="1" max="1" width="3.625" style="18" customWidth="1"/>
    <col min="2" max="2" width="2.00390625" style="18" customWidth="1"/>
    <col min="3" max="3" width="30.875" style="18" customWidth="1"/>
    <col min="4" max="4" width="25.625" style="18" customWidth="1"/>
    <col min="5" max="5" width="2.00390625" style="18" customWidth="1"/>
    <col min="6" max="16384" width="10.75390625" style="18" customWidth="1"/>
  </cols>
  <sheetData>
    <row r="1" ht="15.75" customHeight="1" thickBot="1"/>
    <row r="2" spans="2:5" ht="12">
      <c r="B2" s="176"/>
      <c r="C2" s="177"/>
      <c r="D2" s="177"/>
      <c r="E2" s="178"/>
    </row>
    <row r="3" spans="2:5" ht="27.75" customHeight="1">
      <c r="B3" s="179"/>
      <c r="C3" s="253" t="s">
        <v>63</v>
      </c>
      <c r="D3" s="254"/>
      <c r="E3" s="180"/>
    </row>
    <row r="4" spans="2:5" ht="27.75" customHeight="1">
      <c r="B4" s="179"/>
      <c r="C4" s="254"/>
      <c r="D4" s="254"/>
      <c r="E4" s="180"/>
    </row>
    <row r="5" spans="2:5" ht="27.75" customHeight="1">
      <c r="B5" s="179"/>
      <c r="C5" s="254"/>
      <c r="D5" s="254"/>
      <c r="E5" s="180"/>
    </row>
    <row r="6" spans="2:5" ht="7.5" customHeight="1" thickBot="1">
      <c r="B6" s="181"/>
      <c r="C6" s="182"/>
      <c r="D6" s="182"/>
      <c r="E6" s="183"/>
    </row>
    <row r="7" ht="12.75" thickBot="1"/>
    <row r="8" spans="2:5" ht="12.75" thickTop="1">
      <c r="B8" s="184"/>
      <c r="C8" s="185"/>
      <c r="D8" s="185"/>
      <c r="E8" s="186"/>
    </row>
    <row r="9" spans="2:5" ht="21.75" customHeight="1">
      <c r="B9" s="187"/>
      <c r="C9" s="204" t="s">
        <v>64</v>
      </c>
      <c r="D9" s="27"/>
      <c r="E9" s="189"/>
    </row>
    <row r="10" spans="2:5" ht="21.75" customHeight="1">
      <c r="B10" s="187"/>
      <c r="C10" s="204" t="s">
        <v>65</v>
      </c>
      <c r="D10" s="27"/>
      <c r="E10" s="189"/>
    </row>
    <row r="11" spans="2:5" ht="21.75" customHeight="1">
      <c r="B11" s="187"/>
      <c r="C11" s="204" t="s">
        <v>66</v>
      </c>
      <c r="D11" s="27"/>
      <c r="E11" s="189"/>
    </row>
    <row r="12" spans="2:5" ht="21.75" customHeight="1">
      <c r="B12" s="187"/>
      <c r="C12" s="204" t="s">
        <v>67</v>
      </c>
      <c r="D12" s="27"/>
      <c r="E12" s="189"/>
    </row>
    <row r="13" spans="2:5" ht="21.75" customHeight="1">
      <c r="B13" s="187"/>
      <c r="C13" s="204" t="s">
        <v>68</v>
      </c>
      <c r="D13" s="27"/>
      <c r="E13" s="189"/>
    </row>
    <row r="14" spans="2:5" ht="21.75" customHeight="1">
      <c r="B14" s="187"/>
      <c r="C14" s="204" t="s">
        <v>69</v>
      </c>
      <c r="D14" s="27"/>
      <c r="E14" s="189"/>
    </row>
    <row r="15" spans="2:5" ht="21.75" customHeight="1">
      <c r="B15" s="187"/>
      <c r="C15" s="204" t="s">
        <v>70</v>
      </c>
      <c r="D15" s="27"/>
      <c r="E15" s="189"/>
    </row>
    <row r="16" spans="2:5" ht="21.75" customHeight="1">
      <c r="B16" s="187"/>
      <c r="C16" s="204" t="s">
        <v>71</v>
      </c>
      <c r="D16" s="27"/>
      <c r="E16" s="189"/>
    </row>
    <row r="17" spans="2:5" ht="21.75" customHeight="1">
      <c r="B17" s="187"/>
      <c r="C17" s="204" t="s">
        <v>72</v>
      </c>
      <c r="D17" s="27"/>
      <c r="E17" s="189"/>
    </row>
    <row r="18" spans="2:5" ht="12">
      <c r="B18" s="187"/>
      <c r="C18" s="188"/>
      <c r="D18" s="27"/>
      <c r="E18" s="189"/>
    </row>
    <row r="19" spans="2:5" ht="12">
      <c r="B19" s="187"/>
      <c r="C19" s="188"/>
      <c r="D19" s="27"/>
      <c r="E19" s="189"/>
    </row>
    <row r="20" spans="2:5" s="194" customFormat="1" ht="22.5" customHeight="1" thickBot="1">
      <c r="B20" s="190"/>
      <c r="C20" s="191" t="s">
        <v>73</v>
      </c>
      <c r="D20" s="192">
        <f>ROUND(D59,-1)</f>
        <v>140</v>
      </c>
      <c r="E20" s="193"/>
    </row>
    <row r="21" spans="2:5" ht="21.75" customHeight="1" thickBot="1">
      <c r="B21" s="187"/>
      <c r="C21" s="206" t="s">
        <v>74</v>
      </c>
      <c r="D21" s="205">
        <v>200</v>
      </c>
      <c r="E21" s="189"/>
    </row>
    <row r="22" spans="2:5" s="197" customFormat="1" ht="24" customHeight="1">
      <c r="B22" s="195"/>
      <c r="C22" s="191" t="s">
        <v>75</v>
      </c>
      <c r="D22" s="192">
        <f>D21*D20</f>
        <v>28000</v>
      </c>
      <c r="E22" s="196"/>
    </row>
    <row r="23" spans="2:5" ht="15.75">
      <c r="B23" s="187"/>
      <c r="C23" s="255" t="s">
        <v>94</v>
      </c>
      <c r="D23" s="220"/>
      <c r="E23" s="189"/>
    </row>
    <row r="24" spans="2:5" ht="12.75" thickBot="1">
      <c r="B24" s="198"/>
      <c r="C24" s="199"/>
      <c r="D24" s="199"/>
      <c r="E24" s="200"/>
    </row>
    <row r="25" ht="12.75" thickTop="1"/>
    <row r="50" spans="3:4" ht="12">
      <c r="C50" s="201"/>
      <c r="D50" s="201">
        <v>280</v>
      </c>
    </row>
    <row r="51" spans="2:4" ht="12">
      <c r="B51" s="18">
        <v>1</v>
      </c>
      <c r="C51" s="201">
        <v>1</v>
      </c>
      <c r="D51" s="201">
        <f>IF(C51=1,D50*1.2,IF(C51=2,D50,IF(C51=3,D50*0.8,0)))</f>
        <v>336</v>
      </c>
    </row>
    <row r="52" spans="2:4" ht="12">
      <c r="B52" s="18">
        <v>2</v>
      </c>
      <c r="C52" s="201">
        <v>2</v>
      </c>
      <c r="D52" s="201">
        <f>IF(C52=1,D51*1.05,IF(C52=2,D51,IF(C52=3,D51*0.95,0)))</f>
        <v>336</v>
      </c>
    </row>
    <row r="53" spans="2:4" ht="12">
      <c r="B53" s="18">
        <v>3</v>
      </c>
      <c r="C53" s="201">
        <v>2</v>
      </c>
      <c r="D53" s="201">
        <f>IF(C53=1,IF(C52=1,D52,D52*1.1),IF(C53=2,D52,))</f>
        <v>336</v>
      </c>
    </row>
    <row r="54" spans="2:4" ht="12">
      <c r="B54" s="18">
        <v>4</v>
      </c>
      <c r="C54" s="201">
        <v>1</v>
      </c>
      <c r="D54" s="201">
        <f>IF(C54=1,D53,IF(C54=2,D53*0.9,IF(C54=3,D53*1.1,)))</f>
        <v>336</v>
      </c>
    </row>
    <row r="55" spans="2:4" ht="12">
      <c r="B55" s="18">
        <v>5</v>
      </c>
      <c r="C55" s="201">
        <v>1</v>
      </c>
      <c r="D55" s="201">
        <f>IF(C55=1,D54,IF(C55=2,D54*1.2,))</f>
        <v>336</v>
      </c>
    </row>
    <row r="56" spans="2:4" ht="12">
      <c r="B56" s="18">
        <v>6</v>
      </c>
      <c r="C56" s="201">
        <v>3</v>
      </c>
      <c r="D56" s="201">
        <f>IF(C56=1,D55,IF(C56=2,D55*0.8,IF(C56=3,D55*0.75,IF(C56=4,D55*0.6))))</f>
        <v>252</v>
      </c>
    </row>
    <row r="57" spans="2:4" ht="12">
      <c r="B57" s="18">
        <v>7</v>
      </c>
      <c r="C57" s="201">
        <v>3</v>
      </c>
      <c r="D57" s="201">
        <f>IF(C57=1,D56,IF(C57=2,D56*0.7,IF(C57=3,D56*0.65,IF(C57=4,D56*0.55))))</f>
        <v>163.8</v>
      </c>
    </row>
    <row r="58" spans="2:4" ht="12">
      <c r="B58" s="18">
        <v>8</v>
      </c>
      <c r="C58" s="201">
        <v>3</v>
      </c>
      <c r="D58" s="201">
        <f>IF(C58=1,D57,IF(C58=2,D57*0.9,IF(C58=3,D57*0.95)))</f>
        <v>155.61</v>
      </c>
    </row>
    <row r="59" spans="2:4" ht="12">
      <c r="B59" s="18">
        <v>9</v>
      </c>
      <c r="C59" s="201">
        <v>2</v>
      </c>
      <c r="D59" s="201">
        <f>IF(C59=1,D58,IF(C59=2,D58*0.9,IF(C59=3,D58*1.1,IF(C59=4,D58*0.8,))))</f>
        <v>140.049</v>
      </c>
    </row>
    <row r="62" spans="3:11" ht="12">
      <c r="C62" s="202" t="s">
        <v>46</v>
      </c>
      <c r="D62" s="202" t="s">
        <v>95</v>
      </c>
      <c r="E62" s="202" t="s">
        <v>96</v>
      </c>
      <c r="F62" s="202" t="s">
        <v>97</v>
      </c>
      <c r="G62" s="203" t="s">
        <v>98</v>
      </c>
      <c r="H62" s="202" t="s">
        <v>99</v>
      </c>
      <c r="I62" s="202" t="s">
        <v>99</v>
      </c>
      <c r="J62" s="202" t="s">
        <v>99</v>
      </c>
      <c r="K62" s="202" t="s">
        <v>100</v>
      </c>
    </row>
    <row r="63" spans="3:11" ht="12">
      <c r="C63" s="202" t="s">
        <v>114</v>
      </c>
      <c r="D63" s="202" t="s">
        <v>115</v>
      </c>
      <c r="E63" s="202" t="s">
        <v>116</v>
      </c>
      <c r="F63" s="202" t="s">
        <v>117</v>
      </c>
      <c r="G63" s="203" t="s">
        <v>80</v>
      </c>
      <c r="H63" s="202" t="s">
        <v>81</v>
      </c>
      <c r="I63" s="202" t="s">
        <v>82</v>
      </c>
      <c r="J63" s="202" t="s">
        <v>83</v>
      </c>
      <c r="K63" s="202" t="s">
        <v>84</v>
      </c>
    </row>
    <row r="64" spans="3:11" ht="12">
      <c r="C64" s="202" t="s">
        <v>103</v>
      </c>
      <c r="D64" s="202" t="s">
        <v>104</v>
      </c>
      <c r="E64" s="202"/>
      <c r="F64" s="202" t="s">
        <v>105</v>
      </c>
      <c r="G64" s="202"/>
      <c r="H64" s="202" t="s">
        <v>106</v>
      </c>
      <c r="I64" s="202" t="s">
        <v>107</v>
      </c>
      <c r="J64" s="202" t="s">
        <v>108</v>
      </c>
      <c r="K64" s="202" t="s">
        <v>109</v>
      </c>
    </row>
    <row r="65" spans="8:11" ht="12">
      <c r="H65" s="202" t="s">
        <v>110</v>
      </c>
      <c r="I65" s="202" t="s">
        <v>111</v>
      </c>
      <c r="K65" s="202" t="s">
        <v>112</v>
      </c>
    </row>
  </sheetData>
  <sheetProtection sheet="1" objects="1" scenarios="1"/>
  <mergeCells count="2">
    <mergeCell ref="C3:D5"/>
    <mergeCell ref="C23:D2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 DIMITROPOULOS</dc:creator>
  <cp:keywords/>
  <dc:description/>
  <cp:lastModifiedBy>Franck DIMITROPOULOS</cp:lastModifiedBy>
  <cp:lastPrinted>2008-01-29T07:53:00Z</cp:lastPrinted>
  <dcterms:created xsi:type="dcterms:W3CDTF">2008-01-09T15:27:53Z</dcterms:created>
  <cp:category/>
  <cp:version/>
  <cp:contentType/>
  <cp:contentStatus/>
</cp:coreProperties>
</file>